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080" tabRatio="857"/>
  </bookViews>
  <sheets>
    <sheet name="NL1" sheetId="1" r:id="rId1"/>
    <sheet name="NL2" sheetId="7" r:id="rId2"/>
    <sheet name="NL3" sheetId="8" r:id="rId3"/>
    <sheet name="NL4" sheetId="9" r:id="rId4"/>
    <sheet name="NL5" sheetId="10" r:id="rId5"/>
    <sheet name="NL6" sheetId="11" r:id="rId6"/>
    <sheet name="NL7" sheetId="12" r:id="rId7"/>
    <sheet name="NL10" sheetId="13" r:id="rId8"/>
    <sheet name="NL12" sheetId="14" r:id="rId9"/>
    <sheet name="NL13" sheetId="15" r:id="rId10"/>
    <sheet name="NL14" sheetId="16" r:id="rId11"/>
    <sheet name="NL15" sheetId="17" r:id="rId12"/>
    <sheet name="NL17" sheetId="18" r:id="rId13"/>
    <sheet name="NL23" sheetId="2" r:id="rId14"/>
    <sheet name="NL25" sheetId="3" r:id="rId15"/>
    <sheet name="NL30" sheetId="4" r:id="rId16"/>
    <sheet name="NL33" sheetId="5" r:id="rId17"/>
    <sheet name="NL40" sheetId="6" r:id="rId18"/>
  </sheets>
  <calcPr calcId="152511"/>
</workbook>
</file>

<file path=xl/calcChain.xml><?xml version="1.0" encoding="utf-8"?>
<calcChain xmlns="http://schemas.openxmlformats.org/spreadsheetml/2006/main">
  <c r="CS34" i="14" l="1"/>
  <c r="CS23" i="14"/>
  <c r="AG7" i="8"/>
  <c r="U7" i="8" l="1"/>
  <c r="U11" i="16" l="1"/>
  <c r="CF11" i="6" l="1"/>
  <c r="CE11" i="6"/>
  <c r="CD11" i="6"/>
  <c r="V7" i="8"/>
  <c r="M5" i="16" l="1"/>
  <c r="AJ36" i="14"/>
  <c r="M6" i="13"/>
  <c r="H8" i="17" l="1"/>
  <c r="H7" i="17"/>
  <c r="U29" i="14"/>
  <c r="U22" i="14"/>
  <c r="U13" i="14"/>
  <c r="U6" i="14"/>
  <c r="T29" i="14"/>
  <c r="T22" i="14"/>
  <c r="T13" i="14"/>
  <c r="T6" i="14"/>
  <c r="BO23" i="10" l="1"/>
  <c r="BO20" i="10"/>
  <c r="BO19" i="10"/>
  <c r="BO18" i="10"/>
  <c r="BO34" i="10"/>
  <c r="BO33" i="10"/>
  <c r="BO31" i="10"/>
  <c r="BO30" i="10"/>
  <c r="BO29" i="10"/>
  <c r="BO28" i="10"/>
  <c r="BN34" i="10"/>
  <c r="BN33" i="10"/>
  <c r="BN31" i="10"/>
  <c r="BN29" i="10"/>
  <c r="BN28" i="10"/>
  <c r="BN23" i="10"/>
  <c r="BN20" i="10"/>
  <c r="BN18" i="10"/>
  <c r="BO15" i="9"/>
  <c r="BO17" i="9"/>
  <c r="BO18" i="9"/>
  <c r="BO19" i="9"/>
  <c r="BO27" i="9"/>
  <c r="BO26" i="9"/>
  <c r="BO24" i="9"/>
  <c r="BO28" i="9"/>
  <c r="BN27" i="9"/>
  <c r="BN26" i="9"/>
  <c r="BN24" i="9"/>
  <c r="BN28" i="9"/>
  <c r="BN18" i="9"/>
  <c r="BN17" i="9"/>
  <c r="BN15" i="9"/>
  <c r="BN19" i="9"/>
  <c r="AS34" i="10"/>
  <c r="AS33" i="10"/>
  <c r="AS31" i="10"/>
  <c r="AS30" i="10"/>
  <c r="AS29" i="10"/>
  <c r="AS28" i="10"/>
  <c r="AR34" i="10"/>
  <c r="AR33" i="10"/>
  <c r="AR31" i="10"/>
  <c r="AR29" i="10"/>
  <c r="AR28" i="10"/>
  <c r="AS28" i="9"/>
  <c r="AS27" i="9"/>
  <c r="AS26" i="9"/>
  <c r="AS24" i="9"/>
  <c r="AR27" i="9"/>
  <c r="AR26" i="9"/>
  <c r="AR24" i="9"/>
  <c r="AR28" i="9"/>
  <c r="W34" i="10"/>
  <c r="W31" i="10"/>
  <c r="W30" i="10"/>
  <c r="W29" i="10"/>
  <c r="W28" i="10"/>
  <c r="V34" i="10"/>
  <c r="V31" i="10"/>
  <c r="V30" i="10"/>
  <c r="V29" i="10"/>
  <c r="V28" i="10"/>
  <c r="W23" i="10"/>
  <c r="W20" i="10"/>
  <c r="W19" i="10"/>
  <c r="W18" i="10"/>
  <c r="W17" i="10"/>
  <c r="V20" i="10"/>
  <c r="V19" i="10"/>
  <c r="V18" i="10"/>
  <c r="V17" i="10"/>
  <c r="W28" i="9"/>
  <c r="W27" i="9"/>
  <c r="W26" i="9"/>
  <c r="W24" i="9"/>
  <c r="V28" i="9"/>
  <c r="V27" i="9"/>
  <c r="V26" i="9"/>
  <c r="V24" i="9"/>
  <c r="W19" i="9"/>
  <c r="W18" i="9"/>
  <c r="W17" i="9"/>
  <c r="W15" i="9"/>
  <c r="V19" i="9"/>
  <c r="V18" i="9"/>
  <c r="V17" i="9"/>
  <c r="V15" i="9"/>
  <c r="W25" i="11"/>
  <c r="W24" i="11"/>
  <c r="W22" i="11"/>
  <c r="V25" i="11"/>
  <c r="V24" i="11"/>
  <c r="V22" i="11"/>
  <c r="W17" i="11"/>
  <c r="W16" i="11"/>
  <c r="V17" i="11"/>
  <c r="V16" i="11"/>
  <c r="AS25" i="11"/>
  <c r="AS24" i="11"/>
  <c r="AS22" i="11"/>
  <c r="AR25" i="11"/>
  <c r="AR24" i="11"/>
  <c r="AR22" i="11"/>
  <c r="BO25" i="11"/>
  <c r="BO24" i="11"/>
  <c r="BO22" i="11"/>
  <c r="BN25" i="11"/>
  <c r="BN24" i="11"/>
  <c r="BN22" i="11"/>
  <c r="BO17" i="11"/>
  <c r="BO16" i="11"/>
  <c r="BN17" i="11"/>
  <c r="BN16" i="11"/>
  <c r="DI12" i="6" l="1"/>
  <c r="BA11" i="6"/>
  <c r="AZ11" i="6"/>
  <c r="AY11" i="6"/>
  <c r="X11" i="18" l="1"/>
  <c r="S13" i="18"/>
  <c r="Q19" i="18"/>
  <c r="C8" i="17"/>
  <c r="F13" i="18"/>
  <c r="D32" i="15"/>
  <c r="AF54" i="15"/>
  <c r="O7" i="8" l="1"/>
  <c r="L7" i="8"/>
  <c r="G7" i="8"/>
  <c r="C13" i="8"/>
  <c r="CV36" i="14" l="1"/>
  <c r="CV35" i="14"/>
  <c r="CV34" i="14"/>
  <c r="CV29" i="14"/>
  <c r="CV28" i="14"/>
  <c r="CV22" i="14"/>
  <c r="CV19" i="14"/>
  <c r="CV18" i="14"/>
  <c r="CV13" i="14"/>
  <c r="CV10" i="14"/>
  <c r="CV6" i="14"/>
  <c r="CP14" i="14"/>
  <c r="CD34" i="14"/>
  <c r="CD13" i="14"/>
  <c r="CD10" i="14"/>
  <c r="CD7" i="14"/>
  <c r="CD6" i="14"/>
  <c r="BY14" i="14"/>
  <c r="Y34" i="14"/>
  <c r="R19" i="14"/>
  <c r="Q19" i="14"/>
  <c r="F18" i="14"/>
  <c r="E18" i="14"/>
  <c r="Z36" i="14"/>
  <c r="Z19" i="14"/>
  <c r="AA36" i="14"/>
  <c r="AA19" i="14"/>
  <c r="AP36" i="14"/>
  <c r="AP19" i="14"/>
  <c r="AO36" i="14"/>
  <c r="AO19" i="14"/>
  <c r="AG25" i="11"/>
  <c r="AG24" i="11"/>
  <c r="AG22" i="11"/>
  <c r="AF25" i="11"/>
  <c r="AF24" i="11"/>
  <c r="AF22" i="11"/>
  <c r="AG34" i="10"/>
  <c r="AG33" i="10"/>
  <c r="AG31" i="10"/>
  <c r="AG30" i="10"/>
  <c r="AG29" i="10"/>
  <c r="AG28" i="10"/>
  <c r="AF34" i="10"/>
  <c r="AF33" i="10"/>
  <c r="AF31" i="10"/>
  <c r="AF30" i="10"/>
  <c r="AF29" i="10"/>
  <c r="AF28" i="10"/>
  <c r="AG28" i="9"/>
  <c r="AG27" i="9"/>
  <c r="AG26" i="9"/>
  <c r="AG24" i="9"/>
  <c r="AF28" i="9"/>
  <c r="AF27" i="9"/>
  <c r="AF26" i="9"/>
  <c r="AF24" i="9"/>
  <c r="BA36" i="14"/>
  <c r="T7" i="8"/>
  <c r="BO24" i="7" l="1"/>
  <c r="BN24" i="7"/>
  <c r="BF24" i="7"/>
  <c r="BG24" i="7"/>
  <c r="BE24" i="7"/>
  <c r="BD24" i="7"/>
  <c r="BA24" i="7"/>
  <c r="AZ24" i="7"/>
  <c r="AA24" i="7"/>
  <c r="Z24" i="7"/>
  <c r="W24" i="7"/>
  <c r="V24" i="7"/>
  <c r="S24" i="7"/>
  <c r="R24" i="7"/>
  <c r="S10" i="7"/>
  <c r="R10" i="7"/>
  <c r="AC24" i="7"/>
  <c r="AB24" i="7"/>
  <c r="BI24" i="7"/>
  <c r="BH24" i="7"/>
  <c r="BQ36" i="14"/>
  <c r="BQ19" i="14"/>
  <c r="BP36" i="14"/>
  <c r="BP19" i="14"/>
  <c r="BR35" i="14"/>
  <c r="BR29" i="14"/>
  <c r="BR28" i="14"/>
  <c r="BR27" i="14"/>
  <c r="BR22" i="14"/>
  <c r="BR18" i="14"/>
  <c r="BR16" i="14"/>
  <c r="BR14" i="14"/>
  <c r="BR13" i="14"/>
  <c r="BR11" i="14"/>
  <c r="BR10" i="14"/>
  <c r="BR7" i="14"/>
  <c r="BR6" i="14"/>
  <c r="X7" i="8"/>
  <c r="AU24" i="7"/>
  <c r="AT24" i="7"/>
  <c r="CD35" i="14"/>
  <c r="CD29" i="14"/>
  <c r="CD28" i="14"/>
  <c r="CD23" i="14"/>
  <c r="CD22" i="14"/>
  <c r="CD19" i="14"/>
  <c r="CD18" i="14"/>
  <c r="AU14" i="1"/>
  <c r="AU12" i="1"/>
  <c r="AU11" i="1"/>
  <c r="AU10" i="1"/>
  <c r="AU9" i="1"/>
  <c r="AU8" i="1"/>
  <c r="AU6" i="1"/>
  <c r="AU5" i="1"/>
  <c r="AT14" i="1"/>
  <c r="AT12" i="1"/>
  <c r="AT11" i="1"/>
  <c r="AT10" i="1"/>
  <c r="AT9" i="1"/>
  <c r="AT8" i="1"/>
  <c r="AT6" i="1"/>
  <c r="AT5" i="1"/>
  <c r="BI14" i="1" l="1"/>
  <c r="BI12" i="1"/>
  <c r="BI11" i="1"/>
  <c r="BI10" i="1"/>
  <c r="BI8" i="1"/>
  <c r="BI9" i="1"/>
  <c r="BI6" i="1"/>
  <c r="BI5" i="1"/>
  <c r="BH14" i="1"/>
  <c r="BH12" i="1"/>
  <c r="BH11" i="1"/>
  <c r="BH10" i="1"/>
  <c r="BH9" i="1"/>
  <c r="BH8" i="1"/>
  <c r="BH6" i="1"/>
  <c r="BH5" i="1"/>
  <c r="AG14" i="1"/>
  <c r="AG12" i="1"/>
  <c r="AG11" i="1"/>
  <c r="AG10" i="1"/>
  <c r="AG9" i="1"/>
  <c r="AG8" i="1"/>
  <c r="AG6" i="1"/>
  <c r="AG5" i="1"/>
  <c r="AF14" i="1"/>
  <c r="AF12" i="1"/>
  <c r="AF11" i="1"/>
  <c r="AF10" i="1"/>
  <c r="AF9" i="1"/>
  <c r="AF8" i="1"/>
  <c r="AF6" i="1"/>
  <c r="AF5" i="1"/>
  <c r="AC14" i="1"/>
  <c r="AC12" i="1"/>
  <c r="AC11" i="1"/>
  <c r="AC10" i="1"/>
  <c r="AC9" i="1"/>
  <c r="AC8" i="1"/>
  <c r="AC6" i="1"/>
  <c r="AC5" i="1"/>
  <c r="AB14" i="1"/>
  <c r="AB12" i="1"/>
  <c r="AB11" i="1"/>
  <c r="AB10" i="1"/>
  <c r="AB9" i="1"/>
  <c r="AB8" i="1"/>
  <c r="AB6" i="1"/>
  <c r="AB5" i="1"/>
  <c r="M14" i="1"/>
  <c r="M12" i="1"/>
  <c r="M11" i="1"/>
  <c r="M10" i="1"/>
  <c r="M9" i="1"/>
  <c r="M8" i="1"/>
  <c r="M6" i="1"/>
  <c r="M5" i="1"/>
  <c r="L14" i="1"/>
  <c r="L12" i="1"/>
  <c r="L11" i="1"/>
  <c r="L10" i="1"/>
  <c r="L9" i="1"/>
  <c r="L8" i="1"/>
  <c r="L6" i="1"/>
  <c r="L5" i="1"/>
  <c r="BO14" i="1"/>
  <c r="BO12" i="1"/>
  <c r="BO11" i="1"/>
  <c r="BO10" i="1"/>
  <c r="BO9" i="1"/>
  <c r="BO8" i="1"/>
  <c r="BO6" i="1"/>
  <c r="BO5" i="1"/>
  <c r="BN14" i="1"/>
  <c r="BN12" i="1"/>
  <c r="BN11" i="1"/>
  <c r="BN10" i="1"/>
  <c r="BN9" i="1"/>
  <c r="BN8" i="1"/>
  <c r="BN6" i="1"/>
  <c r="BN5" i="1"/>
  <c r="AY14" i="1"/>
  <c r="AY12" i="1"/>
  <c r="AY11" i="1"/>
  <c r="AY10" i="1"/>
  <c r="AY9" i="1"/>
  <c r="AY8" i="1"/>
  <c r="AY6" i="1"/>
  <c r="AY5" i="1"/>
  <c r="AX14" i="1"/>
  <c r="AX12" i="1"/>
  <c r="AX11" i="1"/>
  <c r="AX10" i="1"/>
  <c r="AX9" i="1"/>
  <c r="AX8" i="1"/>
  <c r="AX6" i="1"/>
  <c r="AX5" i="1"/>
  <c r="BK14" i="1"/>
  <c r="BK12" i="1"/>
  <c r="BK11" i="1"/>
  <c r="BK10" i="1"/>
  <c r="BK9" i="1"/>
  <c r="BK8" i="1"/>
  <c r="BK6" i="1"/>
  <c r="BK5" i="1"/>
  <c r="BJ14" i="1"/>
  <c r="BJ12" i="1"/>
  <c r="BJ11" i="1"/>
  <c r="BJ10" i="1"/>
  <c r="BJ9" i="1"/>
  <c r="BJ8" i="1"/>
  <c r="BJ6" i="1"/>
  <c r="BJ5" i="1"/>
  <c r="AE7" i="1"/>
  <c r="AE13" i="1"/>
  <c r="AE15" i="1"/>
  <c r="EY9" i="2" l="1"/>
  <c r="EY15" i="2" s="1"/>
  <c r="EX9" i="2"/>
  <c r="EW9" i="2"/>
  <c r="EW15" i="2"/>
  <c r="EX15" i="2"/>
  <c r="CA14" i="3"/>
  <c r="BZ14" i="3"/>
  <c r="BZ13" i="3"/>
  <c r="CM11" i="3" l="1"/>
  <c r="CK11" i="3"/>
  <c r="O36" i="14" l="1"/>
  <c r="O19" i="14"/>
  <c r="N36" i="14"/>
  <c r="N19" i="14"/>
  <c r="F7" i="8"/>
  <c r="AH14" i="8"/>
  <c r="AD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I14" i="8"/>
  <c r="G14" i="8"/>
  <c r="F14" i="8"/>
  <c r="C14" i="8"/>
  <c r="B14" i="8"/>
  <c r="E14" i="8"/>
  <c r="BQ18" i="12" l="1"/>
  <c r="BP18" i="12"/>
  <c r="BQ17" i="12"/>
  <c r="BP17" i="12"/>
  <c r="BQ16" i="12"/>
  <c r="BP16" i="12"/>
  <c r="BQ14" i="12"/>
  <c r="BP14" i="12"/>
  <c r="BQ13" i="12"/>
  <c r="BP13" i="12"/>
  <c r="BQ12" i="12"/>
  <c r="BP12" i="12"/>
  <c r="BQ11" i="12"/>
  <c r="BP11" i="12"/>
  <c r="BQ10" i="12"/>
  <c r="BP10" i="12"/>
  <c r="BQ9" i="12"/>
  <c r="BP9" i="12"/>
  <c r="BQ8" i="12"/>
  <c r="BP8" i="12"/>
  <c r="BQ7" i="12"/>
  <c r="BP7" i="12"/>
  <c r="BQ6" i="12"/>
  <c r="BP6" i="12"/>
  <c r="BQ5" i="12"/>
  <c r="BP5" i="12"/>
  <c r="BQ9" i="11"/>
  <c r="BP9" i="11"/>
  <c r="BQ8" i="11"/>
  <c r="BP8" i="11"/>
  <c r="BQ7" i="11"/>
  <c r="BP7" i="11"/>
  <c r="BQ6" i="11"/>
  <c r="BP6" i="11"/>
  <c r="BQ17" i="11"/>
  <c r="BP17" i="11"/>
  <c r="BQ16" i="11"/>
  <c r="BP16" i="11"/>
  <c r="BQ15" i="11"/>
  <c r="BP15" i="11"/>
  <c r="BQ14" i="11"/>
  <c r="BP14" i="11"/>
  <c r="BQ25" i="11"/>
  <c r="BP25" i="11"/>
  <c r="BQ24" i="11"/>
  <c r="BP24" i="11"/>
  <c r="BQ23" i="11"/>
  <c r="BP23" i="11"/>
  <c r="BQ22" i="11"/>
  <c r="BP22" i="11"/>
  <c r="BQ33" i="11"/>
  <c r="BP33" i="11"/>
  <c r="BQ32" i="11"/>
  <c r="BP32" i="11"/>
  <c r="BQ31" i="11"/>
  <c r="BP31" i="11"/>
  <c r="BQ30" i="11"/>
  <c r="BP30" i="11"/>
  <c r="BQ41" i="11"/>
  <c r="BP41" i="11"/>
  <c r="BQ40" i="11"/>
  <c r="BP40" i="11"/>
  <c r="BQ39" i="11"/>
  <c r="BP39" i="11"/>
  <c r="BQ38" i="11"/>
  <c r="BP38" i="11"/>
  <c r="BQ49" i="11"/>
  <c r="BP49" i="11"/>
  <c r="BQ48" i="11"/>
  <c r="BP48" i="11"/>
  <c r="BQ47" i="11"/>
  <c r="BP47" i="11"/>
  <c r="BQ46" i="11"/>
  <c r="BP46" i="11"/>
  <c r="BQ57" i="11"/>
  <c r="BP57" i="11"/>
  <c r="BQ56" i="11"/>
  <c r="BP56" i="11"/>
  <c r="BQ55" i="11"/>
  <c r="BP55" i="11"/>
  <c r="BQ54" i="11"/>
  <c r="BP54" i="11"/>
  <c r="BQ65" i="11"/>
  <c r="BP65" i="11"/>
  <c r="BQ64" i="11"/>
  <c r="BP64" i="11"/>
  <c r="BQ63" i="11"/>
  <c r="BP63" i="11"/>
  <c r="BQ62" i="11"/>
  <c r="BP62" i="11"/>
  <c r="BQ80" i="11"/>
  <c r="BP80" i="11"/>
  <c r="BQ79" i="11"/>
  <c r="BP79" i="11"/>
  <c r="BQ78" i="11"/>
  <c r="BP78" i="11"/>
  <c r="BQ81" i="11"/>
  <c r="BP81" i="11"/>
  <c r="BQ111" i="10"/>
  <c r="BP111" i="10"/>
  <c r="BQ110" i="10"/>
  <c r="BP110" i="10"/>
  <c r="BQ109" i="10"/>
  <c r="BP109" i="10"/>
  <c r="BQ108" i="10"/>
  <c r="BP108" i="10"/>
  <c r="BQ107" i="10"/>
  <c r="BP107" i="10"/>
  <c r="BQ106" i="10"/>
  <c r="BP106" i="10"/>
  <c r="BQ105" i="10"/>
  <c r="BP105" i="10"/>
  <c r="BQ89" i="10"/>
  <c r="BP89" i="10"/>
  <c r="BQ88" i="10"/>
  <c r="BP88" i="10"/>
  <c r="BQ87" i="10"/>
  <c r="BP87" i="10"/>
  <c r="BQ86" i="10"/>
  <c r="BP86" i="10"/>
  <c r="BQ85" i="10"/>
  <c r="BP85" i="10"/>
  <c r="BQ84" i="10"/>
  <c r="BP84" i="10"/>
  <c r="BQ83" i="10"/>
  <c r="BP83" i="10"/>
  <c r="BQ78" i="10"/>
  <c r="BP78" i="10"/>
  <c r="BQ77" i="10"/>
  <c r="BP77" i="10"/>
  <c r="BQ76" i="10"/>
  <c r="BP76" i="10"/>
  <c r="BQ75" i="10"/>
  <c r="BP75" i="10"/>
  <c r="BQ74" i="10"/>
  <c r="BP74" i="10"/>
  <c r="BQ73" i="10"/>
  <c r="BP73" i="10"/>
  <c r="BQ72" i="10"/>
  <c r="BP72" i="10"/>
  <c r="BQ67" i="10"/>
  <c r="BP67" i="10"/>
  <c r="BQ66" i="10"/>
  <c r="BP66" i="10"/>
  <c r="BQ65" i="10"/>
  <c r="BP65" i="10"/>
  <c r="BQ64" i="10"/>
  <c r="BP64" i="10"/>
  <c r="BQ63" i="10"/>
  <c r="BP63" i="10"/>
  <c r="BQ62" i="10"/>
  <c r="BP62" i="10"/>
  <c r="BQ61" i="10"/>
  <c r="BP61" i="10"/>
  <c r="BQ56" i="10"/>
  <c r="BP56" i="10"/>
  <c r="BQ55" i="10"/>
  <c r="BP55" i="10"/>
  <c r="BQ54" i="10"/>
  <c r="BP54" i="10"/>
  <c r="BQ53" i="10"/>
  <c r="BP53" i="10"/>
  <c r="BQ52" i="10"/>
  <c r="BP52" i="10"/>
  <c r="BQ51" i="10"/>
  <c r="BP51" i="10"/>
  <c r="BQ50" i="10"/>
  <c r="BP50" i="10"/>
  <c r="BQ45" i="10"/>
  <c r="BP45" i="10"/>
  <c r="BQ44" i="10"/>
  <c r="BP44" i="10"/>
  <c r="BQ43" i="10"/>
  <c r="BP43" i="10"/>
  <c r="BQ42" i="10"/>
  <c r="BP42" i="10"/>
  <c r="BQ41" i="10"/>
  <c r="BP41" i="10"/>
  <c r="BQ40" i="10"/>
  <c r="BP40" i="10"/>
  <c r="BQ39" i="10"/>
  <c r="BP39" i="10"/>
  <c r="BQ34" i="10"/>
  <c r="BP34" i="10"/>
  <c r="BQ33" i="10"/>
  <c r="BP33" i="10"/>
  <c r="BQ32" i="10"/>
  <c r="BP32" i="10"/>
  <c r="BQ31" i="10"/>
  <c r="BP31" i="10"/>
  <c r="BQ30" i="10"/>
  <c r="BP30" i="10"/>
  <c r="BQ29" i="10"/>
  <c r="BP29" i="10"/>
  <c r="BQ28" i="10"/>
  <c r="BP28" i="10"/>
  <c r="BQ23" i="10"/>
  <c r="BP23" i="10"/>
  <c r="BQ22" i="10"/>
  <c r="BP22" i="10"/>
  <c r="BQ21" i="10"/>
  <c r="BP21" i="10"/>
  <c r="BQ20" i="10"/>
  <c r="BP20" i="10"/>
  <c r="BQ19" i="10"/>
  <c r="BP19" i="10"/>
  <c r="BQ18" i="10"/>
  <c r="BP18" i="10"/>
  <c r="BQ17" i="10"/>
  <c r="BP17" i="10"/>
  <c r="BQ12" i="10"/>
  <c r="BP12" i="10"/>
  <c r="BQ11" i="10"/>
  <c r="BP11" i="10"/>
  <c r="BQ10" i="10"/>
  <c r="BP10" i="10"/>
  <c r="BQ9" i="10"/>
  <c r="BP9" i="10"/>
  <c r="BQ8" i="10"/>
  <c r="BP8" i="10"/>
  <c r="BQ7" i="10"/>
  <c r="BP7" i="10"/>
  <c r="BQ6" i="10"/>
  <c r="BP6" i="10"/>
  <c r="BQ91" i="9"/>
  <c r="BP91" i="9"/>
  <c r="BQ90" i="9"/>
  <c r="BP90" i="9"/>
  <c r="BQ89" i="9"/>
  <c r="BP89" i="9"/>
  <c r="BQ88" i="9"/>
  <c r="BP88" i="9"/>
  <c r="BQ87" i="9"/>
  <c r="BP87" i="9"/>
  <c r="BQ73" i="9"/>
  <c r="BP73" i="9"/>
  <c r="BQ72" i="9"/>
  <c r="BP72" i="9"/>
  <c r="BQ71" i="9"/>
  <c r="BP71" i="9"/>
  <c r="BQ70" i="9"/>
  <c r="BP70" i="9"/>
  <c r="BQ69" i="9"/>
  <c r="BP69" i="9"/>
  <c r="BQ64" i="9"/>
  <c r="BP64" i="9"/>
  <c r="BQ63" i="9"/>
  <c r="BP63" i="9"/>
  <c r="BQ62" i="9"/>
  <c r="BP62" i="9"/>
  <c r="BQ61" i="9"/>
  <c r="BP61" i="9"/>
  <c r="BQ60" i="9"/>
  <c r="BP60" i="9"/>
  <c r="BQ55" i="9"/>
  <c r="BP55" i="9"/>
  <c r="BQ54" i="9"/>
  <c r="BP54" i="9"/>
  <c r="BQ53" i="9"/>
  <c r="BP53" i="9"/>
  <c r="BQ52" i="9"/>
  <c r="BP52" i="9"/>
  <c r="BQ51" i="9"/>
  <c r="BP51" i="9"/>
  <c r="BQ46" i="9"/>
  <c r="BP46" i="9"/>
  <c r="BQ45" i="9"/>
  <c r="BP45" i="9"/>
  <c r="BQ44" i="9"/>
  <c r="BP44" i="9"/>
  <c r="BQ43" i="9"/>
  <c r="BP43" i="9"/>
  <c r="BQ42" i="9"/>
  <c r="BP42" i="9"/>
  <c r="BQ37" i="9"/>
  <c r="BP37" i="9"/>
  <c r="BQ36" i="9"/>
  <c r="BP36" i="9"/>
  <c r="BQ35" i="9"/>
  <c r="BP35" i="9"/>
  <c r="BQ34" i="9"/>
  <c r="BP34" i="9"/>
  <c r="BQ33" i="9"/>
  <c r="BP33" i="9"/>
  <c r="BQ28" i="9"/>
  <c r="BP28" i="9"/>
  <c r="BQ27" i="9"/>
  <c r="BP27" i="9"/>
  <c r="BQ26" i="9"/>
  <c r="BP26" i="9"/>
  <c r="BQ25" i="9"/>
  <c r="BP25" i="9"/>
  <c r="BQ24" i="9"/>
  <c r="BP24" i="9"/>
  <c r="BQ19" i="9"/>
  <c r="BP19" i="9"/>
  <c r="BQ18" i="9"/>
  <c r="BP18" i="9"/>
  <c r="BQ17" i="9"/>
  <c r="BP17" i="9"/>
  <c r="BQ16" i="9"/>
  <c r="BP16" i="9"/>
  <c r="BQ15" i="9"/>
  <c r="BP15" i="9"/>
  <c r="BQ10" i="9"/>
  <c r="BP10" i="9"/>
  <c r="BQ9" i="9"/>
  <c r="BP9" i="9"/>
  <c r="BQ8" i="9"/>
  <c r="BP8" i="9"/>
  <c r="BQ7" i="9"/>
  <c r="BP7" i="9"/>
  <c r="BQ6" i="9"/>
  <c r="BP6" i="9"/>
  <c r="BQ24" i="7"/>
  <c r="BP24" i="7"/>
  <c r="BQ22" i="7"/>
  <c r="BP22" i="7"/>
  <c r="BQ20" i="7"/>
  <c r="BP20" i="7"/>
  <c r="BQ19" i="7"/>
  <c r="BP19" i="7"/>
  <c r="BQ18" i="7"/>
  <c r="BP18" i="7"/>
  <c r="BQ16" i="7"/>
  <c r="BP16" i="7"/>
  <c r="BQ14" i="7"/>
  <c r="BP14" i="7"/>
  <c r="BQ13" i="7"/>
  <c r="BP13" i="7"/>
  <c r="BQ12" i="7"/>
  <c r="BP12" i="7"/>
  <c r="BQ11" i="7"/>
  <c r="BP11" i="7"/>
  <c r="BQ10" i="7"/>
  <c r="BP10" i="7"/>
  <c r="BQ8" i="7"/>
  <c r="BP8" i="7"/>
  <c r="BQ7" i="7"/>
  <c r="BP7" i="7"/>
  <c r="BQ6" i="7"/>
  <c r="BP6" i="7"/>
  <c r="BQ14" i="1"/>
  <c r="BP14" i="1"/>
  <c r="BQ12" i="1"/>
  <c r="BP12" i="1"/>
  <c r="BQ11" i="1"/>
  <c r="BP11" i="1"/>
  <c r="BQ10" i="1"/>
  <c r="BP10" i="1"/>
  <c r="BQ9" i="1"/>
  <c r="BP9" i="1"/>
  <c r="BQ8" i="1"/>
  <c r="BP8" i="1"/>
  <c r="BQ6" i="1"/>
  <c r="BP6" i="1"/>
  <c r="BQ5" i="1"/>
  <c r="BP5" i="1"/>
  <c r="DB15" i="2" l="1"/>
  <c r="Q15" i="1" l="1"/>
  <c r="Q13" i="1"/>
  <c r="Q7" i="1"/>
  <c r="AU13" i="1" l="1"/>
  <c r="AU7" i="1" l="1"/>
  <c r="AU15" i="1"/>
  <c r="AJ23" i="7" l="1"/>
  <c r="AJ25" i="7" s="1"/>
  <c r="AJ21" i="7"/>
  <c r="AJ15" i="7"/>
  <c r="AK15" i="1" l="1"/>
  <c r="AK13" i="1"/>
  <c r="AK7" i="1"/>
  <c r="E12" i="6"/>
  <c r="AQ13" i="1" l="1"/>
  <c r="AG15" i="1" l="1"/>
  <c r="AG13" i="1"/>
  <c r="Y15" i="1"/>
  <c r="Y13" i="1"/>
  <c r="Y7" i="1"/>
  <c r="K15" i="1"/>
  <c r="J15" i="1"/>
  <c r="I15" i="1"/>
  <c r="H15" i="1"/>
  <c r="G15" i="1"/>
  <c r="F15" i="1"/>
  <c r="E15" i="1"/>
  <c r="D15" i="1"/>
  <c r="C15" i="1"/>
  <c r="K13" i="1"/>
  <c r="J13" i="1"/>
  <c r="I13" i="1"/>
  <c r="H13" i="1"/>
  <c r="G13" i="1"/>
  <c r="F13" i="1"/>
  <c r="E13" i="1"/>
  <c r="D13" i="1"/>
  <c r="C13" i="1"/>
  <c r="K7" i="1"/>
  <c r="J7" i="1"/>
  <c r="I7" i="1"/>
  <c r="H7" i="1"/>
  <c r="G7" i="1"/>
  <c r="F7" i="1"/>
  <c r="E7" i="1"/>
  <c r="D7" i="1"/>
  <c r="C7" i="1"/>
  <c r="BM15" i="1"/>
  <c r="BK15" i="1"/>
  <c r="BJ15" i="1"/>
  <c r="BM13" i="1"/>
  <c r="BK13" i="1"/>
  <c r="BJ13" i="1"/>
  <c r="BM7" i="1"/>
  <c r="BK7" i="1"/>
  <c r="BJ7" i="1"/>
  <c r="BG15" i="1"/>
  <c r="BG13" i="1"/>
  <c r="BG7" i="1"/>
  <c r="BE13" i="1"/>
  <c r="BC15" i="1"/>
  <c r="BC13" i="1"/>
  <c r="BC7" i="1"/>
  <c r="AW15" i="1"/>
  <c r="AW13" i="1"/>
  <c r="AW7" i="1"/>
  <c r="AI15" i="1"/>
  <c r="AI13" i="1"/>
  <c r="AI7" i="1"/>
  <c r="AC15" i="1"/>
  <c r="AC13" i="1"/>
  <c r="AC7" i="1"/>
  <c r="AA15" i="1"/>
  <c r="AA13" i="1"/>
  <c r="AA7" i="1"/>
  <c r="BE15" i="1" l="1"/>
  <c r="AG7" i="1"/>
  <c r="O15" i="1"/>
  <c r="O13" i="1"/>
  <c r="O7" i="1"/>
  <c r="BE7" i="1"/>
  <c r="CF20" i="14"/>
  <c r="AM15" i="1" l="1"/>
  <c r="AO15" i="1"/>
  <c r="AO13" i="1"/>
  <c r="AO7" i="1"/>
  <c r="R14" i="18"/>
  <c r="AM13" i="1" l="1"/>
  <c r="AM7" i="1"/>
  <c r="U14" i="3"/>
  <c r="U13" i="3"/>
  <c r="U12" i="3"/>
  <c r="U11" i="3"/>
  <c r="U10" i="3"/>
  <c r="U9" i="3"/>
  <c r="U8" i="3"/>
  <c r="U7" i="3"/>
  <c r="U6" i="3"/>
  <c r="CU37" i="14"/>
  <c r="CT37" i="14"/>
  <c r="CV33" i="14"/>
  <c r="CV32" i="14"/>
  <c r="CV31" i="14"/>
  <c r="CV30" i="14"/>
  <c r="CV27" i="14"/>
  <c r="CV26" i="14"/>
  <c r="CV25" i="14"/>
  <c r="CV24" i="14"/>
  <c r="CV23" i="14"/>
  <c r="CU20" i="14"/>
  <c r="CT20" i="14"/>
  <c r="CV17" i="14"/>
  <c r="CV16" i="14"/>
  <c r="CV15" i="14"/>
  <c r="CV14" i="14"/>
  <c r="CV12" i="14"/>
  <c r="CV11" i="14"/>
  <c r="CV9" i="14"/>
  <c r="CV8" i="14"/>
  <c r="CV7" i="14"/>
  <c r="BO7" i="1"/>
  <c r="BO15" i="1"/>
  <c r="U82" i="9"/>
  <c r="U81" i="9"/>
  <c r="U80" i="9"/>
  <c r="U79" i="9"/>
  <c r="U78" i="9"/>
  <c r="U15" i="1"/>
  <c r="U13" i="1"/>
  <c r="U7" i="1"/>
  <c r="CU38" i="14" l="1"/>
  <c r="CV37" i="14"/>
  <c r="CV20" i="14"/>
  <c r="CT38" i="14"/>
  <c r="BO13" i="1"/>
  <c r="CV38" i="14" l="1"/>
  <c r="AY15" i="1" l="1"/>
  <c r="AY13" i="1"/>
  <c r="AY7" i="1"/>
  <c r="AS7" i="1"/>
  <c r="W9" i="13"/>
  <c r="W15" i="1"/>
  <c r="W13" i="1"/>
  <c r="V7" i="1"/>
  <c r="S15" i="1"/>
  <c r="S13" i="1"/>
  <c r="S7" i="1"/>
  <c r="BZ12" i="3"/>
  <c r="BZ37" i="14"/>
  <c r="BY37" i="14"/>
  <c r="CA36" i="14"/>
  <c r="CA35" i="14"/>
  <c r="CA33" i="14"/>
  <c r="CA32" i="14"/>
  <c r="CA31" i="14"/>
  <c r="CA30" i="14"/>
  <c r="CA29" i="14"/>
  <c r="CA28" i="14"/>
  <c r="CA27" i="14"/>
  <c r="CA26" i="14"/>
  <c r="CA25" i="14"/>
  <c r="CA24" i="14"/>
  <c r="CA23" i="14"/>
  <c r="CA22" i="14"/>
  <c r="BZ20" i="14"/>
  <c r="BY20" i="14"/>
  <c r="CA19" i="14"/>
  <c r="CA18" i="14"/>
  <c r="CA17" i="14"/>
  <c r="CA16" i="14"/>
  <c r="CA15" i="14"/>
  <c r="CA14" i="14"/>
  <c r="CA13" i="14"/>
  <c r="CA12" i="14"/>
  <c r="CA11" i="14"/>
  <c r="CA10" i="14"/>
  <c r="CA9" i="14"/>
  <c r="CA8" i="14"/>
  <c r="CA7" i="14"/>
  <c r="CA6" i="14"/>
  <c r="BA100" i="10"/>
  <c r="AZ100" i="10"/>
  <c r="BA99" i="10"/>
  <c r="AZ99" i="10"/>
  <c r="BA98" i="10"/>
  <c r="AZ98" i="10"/>
  <c r="BA97" i="10"/>
  <c r="AZ97" i="10"/>
  <c r="BA96" i="10"/>
  <c r="AZ96" i="10"/>
  <c r="BA95" i="10"/>
  <c r="AZ95" i="10"/>
  <c r="BA94" i="10"/>
  <c r="AZ94" i="10"/>
  <c r="BA15" i="1"/>
  <c r="BA13" i="1"/>
  <c r="BA7" i="1"/>
  <c r="W7" i="1" l="1"/>
  <c r="CA20" i="14"/>
  <c r="CA37" i="14"/>
  <c r="AS13" i="1"/>
  <c r="AS15" i="1"/>
  <c r="BZ38" i="14"/>
  <c r="BY38" i="14"/>
  <c r="EC15" i="6"/>
  <c r="EB15" i="6"/>
  <c r="EA15" i="6"/>
  <c r="DZ15" i="6"/>
  <c r="DY15" i="6"/>
  <c r="DX15" i="6"/>
  <c r="DW15" i="6"/>
  <c r="DV15" i="6"/>
  <c r="DU15" i="6"/>
  <c r="DT15" i="6"/>
  <c r="DS15" i="6"/>
  <c r="DR15" i="6"/>
  <c r="DQ15" i="6"/>
  <c r="DP15" i="6"/>
  <c r="DO15" i="6"/>
  <c r="DN15" i="6"/>
  <c r="DM15" i="6"/>
  <c r="DL15" i="6"/>
  <c r="DK15" i="6"/>
  <c r="DJ15" i="6"/>
  <c r="DI15" i="6"/>
  <c r="DH15" i="6"/>
  <c r="DG15" i="6"/>
  <c r="DF15" i="6"/>
  <c r="DE15" i="6"/>
  <c r="DD15" i="6"/>
  <c r="DC15" i="6"/>
  <c r="DB15" i="6"/>
  <c r="DA15" i="6"/>
  <c r="CZ15" i="6"/>
  <c r="CY15" i="6"/>
  <c r="CX15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EC12" i="6"/>
  <c r="EB12" i="6"/>
  <c r="EA12" i="6"/>
  <c r="DZ12" i="6"/>
  <c r="DY12" i="6"/>
  <c r="DX12" i="6"/>
  <c r="DW12" i="6"/>
  <c r="DV12" i="6"/>
  <c r="DU12" i="6"/>
  <c r="DT12" i="6"/>
  <c r="DS12" i="6"/>
  <c r="DR12" i="6"/>
  <c r="DQ12" i="6"/>
  <c r="DP12" i="6"/>
  <c r="DO12" i="6"/>
  <c r="DN12" i="6"/>
  <c r="DM12" i="6"/>
  <c r="DL12" i="6"/>
  <c r="DK12" i="6"/>
  <c r="DJ12" i="6"/>
  <c r="DH12" i="6"/>
  <c r="DG12" i="6"/>
  <c r="DF12" i="6"/>
  <c r="DE12" i="6"/>
  <c r="DD12" i="6"/>
  <c r="DC12" i="6"/>
  <c r="DB12" i="6"/>
  <c r="DA12" i="6"/>
  <c r="CZ12" i="6"/>
  <c r="CY12" i="6"/>
  <c r="CX12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K12" i="6"/>
  <c r="CJ12" i="6"/>
  <c r="CI12" i="6"/>
  <c r="CH12" i="6"/>
  <c r="CG12" i="6"/>
  <c r="CF12" i="6"/>
  <c r="CE12" i="6"/>
  <c r="CD12" i="6"/>
  <c r="CC12" i="6"/>
  <c r="CB12" i="6"/>
  <c r="CA12" i="6"/>
  <c r="BY12" i="6"/>
  <c r="BX12" i="6"/>
  <c r="BW12" i="6"/>
  <c r="BV12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D12" i="6"/>
  <c r="C12" i="6"/>
  <c r="BO15" i="12"/>
  <c r="BN15" i="12"/>
  <c r="BM15" i="12"/>
  <c r="BL15" i="12"/>
  <c r="BK15" i="12"/>
  <c r="BJ15" i="12"/>
  <c r="BI15" i="12"/>
  <c r="BH15" i="12"/>
  <c r="BG15" i="12"/>
  <c r="BF15" i="12"/>
  <c r="BE15" i="12"/>
  <c r="BD15" i="12"/>
  <c r="BC15" i="12"/>
  <c r="BB15" i="12"/>
  <c r="BA15" i="12"/>
  <c r="AZ15" i="12"/>
  <c r="AY15" i="12"/>
  <c r="AX15" i="12"/>
  <c r="AW15" i="12"/>
  <c r="AV15" i="12"/>
  <c r="AU15" i="12"/>
  <c r="AT15" i="12"/>
  <c r="AS15" i="12"/>
  <c r="AR15" i="12"/>
  <c r="AQ15" i="12"/>
  <c r="AP15" i="12"/>
  <c r="AO15" i="12"/>
  <c r="AN15" i="12"/>
  <c r="AM15" i="12"/>
  <c r="AL15" i="12"/>
  <c r="AK15" i="12"/>
  <c r="AJ15" i="12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AJ73" i="11"/>
  <c r="BO72" i="11"/>
  <c r="BN72" i="11"/>
  <c r="BM72" i="11"/>
  <c r="BL72" i="11"/>
  <c r="BK72" i="11"/>
  <c r="BJ72" i="11"/>
  <c r="BI72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AJ72" i="11"/>
  <c r="BO71" i="11"/>
  <c r="BN71" i="11"/>
  <c r="BM71" i="11"/>
  <c r="BL71" i="11"/>
  <c r="BK71" i="11"/>
  <c r="BJ71" i="11"/>
  <c r="BI71" i="11"/>
  <c r="BH71" i="11"/>
  <c r="BG71" i="11"/>
  <c r="BF71" i="11"/>
  <c r="BE71" i="11"/>
  <c r="BD71" i="11"/>
  <c r="BC71" i="11"/>
  <c r="BB71" i="11"/>
  <c r="BA71" i="11"/>
  <c r="AZ71" i="11"/>
  <c r="AY71" i="11"/>
  <c r="AX71" i="11"/>
  <c r="AW71" i="11"/>
  <c r="AV71" i="11"/>
  <c r="AU71" i="11"/>
  <c r="AT71" i="11"/>
  <c r="AS71" i="11"/>
  <c r="AR71" i="11"/>
  <c r="AQ71" i="11"/>
  <c r="AP71" i="11"/>
  <c r="AO71" i="11"/>
  <c r="AN71" i="11"/>
  <c r="AM71" i="11"/>
  <c r="AL71" i="11"/>
  <c r="AK71" i="11"/>
  <c r="AJ71" i="11"/>
  <c r="BO70" i="11"/>
  <c r="BN70" i="11"/>
  <c r="BM70" i="11"/>
  <c r="BL70" i="11"/>
  <c r="BK70" i="11"/>
  <c r="BJ70" i="11"/>
  <c r="BI70" i="11"/>
  <c r="BH70" i="11"/>
  <c r="BG70" i="11"/>
  <c r="BF70" i="11"/>
  <c r="BE70" i="11"/>
  <c r="BD70" i="11"/>
  <c r="BC70" i="11"/>
  <c r="BB70" i="11"/>
  <c r="BA70" i="11"/>
  <c r="AZ70" i="11"/>
  <c r="AY70" i="11"/>
  <c r="AX70" i="11"/>
  <c r="AW70" i="11"/>
  <c r="AV70" i="11"/>
  <c r="AU70" i="11"/>
  <c r="AT70" i="11"/>
  <c r="AS70" i="11"/>
  <c r="AR70" i="11"/>
  <c r="AQ70" i="11"/>
  <c r="AP70" i="11"/>
  <c r="AO70" i="11"/>
  <c r="AN70" i="11"/>
  <c r="AM70" i="11"/>
  <c r="AL70" i="11"/>
  <c r="AK70" i="11"/>
  <c r="AJ70" i="11"/>
  <c r="BO100" i="10"/>
  <c r="BN100" i="10"/>
  <c r="BM100" i="10"/>
  <c r="BL100" i="10"/>
  <c r="BK100" i="10"/>
  <c r="BJ100" i="10"/>
  <c r="BI100" i="10"/>
  <c r="BH100" i="10"/>
  <c r="BG100" i="10"/>
  <c r="BF100" i="10"/>
  <c r="BE100" i="10"/>
  <c r="BD100" i="10"/>
  <c r="BC100" i="10"/>
  <c r="BB100" i="10"/>
  <c r="AY100" i="10"/>
  <c r="AX100" i="10"/>
  <c r="AW100" i="10"/>
  <c r="AV100" i="10"/>
  <c r="AU100" i="10"/>
  <c r="AT100" i="10"/>
  <c r="AS100" i="10"/>
  <c r="AR100" i="10"/>
  <c r="AQ100" i="10"/>
  <c r="AP100" i="10"/>
  <c r="AO100" i="10"/>
  <c r="AN100" i="10"/>
  <c r="AM100" i="10"/>
  <c r="AL100" i="10"/>
  <c r="AK100" i="10"/>
  <c r="AJ100" i="10"/>
  <c r="BO99" i="10"/>
  <c r="BN99" i="10"/>
  <c r="BM99" i="10"/>
  <c r="BL99" i="10"/>
  <c r="BK99" i="10"/>
  <c r="BJ99" i="10"/>
  <c r="BI99" i="10"/>
  <c r="BH99" i="10"/>
  <c r="BG99" i="10"/>
  <c r="BF99" i="10"/>
  <c r="BE99" i="10"/>
  <c r="BD99" i="10"/>
  <c r="BC99" i="10"/>
  <c r="BB99" i="10"/>
  <c r="AY99" i="10"/>
  <c r="AX99" i="10"/>
  <c r="AW99" i="10"/>
  <c r="AV99" i="10"/>
  <c r="AU99" i="10"/>
  <c r="AT99" i="10"/>
  <c r="AS99" i="10"/>
  <c r="AR99" i="10"/>
  <c r="AQ99" i="10"/>
  <c r="AP99" i="10"/>
  <c r="AO99" i="10"/>
  <c r="AN99" i="10"/>
  <c r="AM99" i="10"/>
  <c r="AL99" i="10"/>
  <c r="AK99" i="10"/>
  <c r="AJ99" i="10"/>
  <c r="BO98" i="10"/>
  <c r="BN98" i="10"/>
  <c r="BM98" i="10"/>
  <c r="BL98" i="10"/>
  <c r="BK98" i="10"/>
  <c r="BJ98" i="10"/>
  <c r="BI98" i="10"/>
  <c r="BH98" i="10"/>
  <c r="BG98" i="10"/>
  <c r="BF98" i="10"/>
  <c r="BE98" i="10"/>
  <c r="BD98" i="10"/>
  <c r="BC98" i="10"/>
  <c r="BB98" i="10"/>
  <c r="AY98" i="10"/>
  <c r="AX98" i="10"/>
  <c r="AW98" i="10"/>
  <c r="AV98" i="10"/>
  <c r="AU98" i="10"/>
  <c r="AT98" i="10"/>
  <c r="AS98" i="10"/>
  <c r="AR98" i="10"/>
  <c r="AQ98" i="10"/>
  <c r="AP98" i="10"/>
  <c r="AO98" i="10"/>
  <c r="AN98" i="10"/>
  <c r="AM98" i="10"/>
  <c r="AL98" i="10"/>
  <c r="AK98" i="10"/>
  <c r="AJ98" i="10"/>
  <c r="BO97" i="10"/>
  <c r="BN97" i="10"/>
  <c r="BM97" i="10"/>
  <c r="BL97" i="10"/>
  <c r="BK97" i="10"/>
  <c r="BJ97" i="10"/>
  <c r="BI97" i="10"/>
  <c r="BH97" i="10"/>
  <c r="BG97" i="10"/>
  <c r="BF97" i="10"/>
  <c r="BE97" i="10"/>
  <c r="BD97" i="10"/>
  <c r="BC97" i="10"/>
  <c r="BB97" i="10"/>
  <c r="AY97" i="10"/>
  <c r="AX97" i="10"/>
  <c r="AW97" i="10"/>
  <c r="AV97" i="10"/>
  <c r="AU97" i="10"/>
  <c r="AT97" i="10"/>
  <c r="AS97" i="10"/>
  <c r="AR97" i="10"/>
  <c r="AQ97" i="10"/>
  <c r="AP97" i="10"/>
  <c r="AO97" i="10"/>
  <c r="AN97" i="10"/>
  <c r="AM97" i="10"/>
  <c r="AL97" i="10"/>
  <c r="AK97" i="10"/>
  <c r="AJ97" i="10"/>
  <c r="BO96" i="10"/>
  <c r="BN96" i="10"/>
  <c r="BM96" i="10"/>
  <c r="BL96" i="10"/>
  <c r="BK96" i="10"/>
  <c r="BJ96" i="10"/>
  <c r="BI96" i="10"/>
  <c r="BH96" i="10"/>
  <c r="BG96" i="10"/>
  <c r="BF96" i="10"/>
  <c r="BE96" i="10"/>
  <c r="BD96" i="10"/>
  <c r="BC96" i="10"/>
  <c r="BB96" i="10"/>
  <c r="AY96" i="10"/>
  <c r="AX96" i="10"/>
  <c r="AW96" i="10"/>
  <c r="AV96" i="10"/>
  <c r="AU96" i="10"/>
  <c r="AT96" i="10"/>
  <c r="AS96" i="10"/>
  <c r="AR96" i="10"/>
  <c r="AQ96" i="10"/>
  <c r="AP96" i="10"/>
  <c r="AO96" i="10"/>
  <c r="AN96" i="10"/>
  <c r="AM96" i="10"/>
  <c r="AL96" i="10"/>
  <c r="AK96" i="10"/>
  <c r="AJ96" i="10"/>
  <c r="BO95" i="10"/>
  <c r="BN95" i="10"/>
  <c r="BM95" i="10"/>
  <c r="BL95" i="10"/>
  <c r="BK95" i="10"/>
  <c r="BJ95" i="10"/>
  <c r="BI95" i="10"/>
  <c r="BH95" i="10"/>
  <c r="BG95" i="10"/>
  <c r="BF95" i="10"/>
  <c r="BE95" i="10"/>
  <c r="BD95" i="10"/>
  <c r="BC95" i="10"/>
  <c r="BB95" i="10"/>
  <c r="AY95" i="10"/>
  <c r="AX95" i="10"/>
  <c r="AW95" i="10"/>
  <c r="AV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BO94" i="10"/>
  <c r="BN94" i="10"/>
  <c r="BM94" i="10"/>
  <c r="BL94" i="10"/>
  <c r="BK94" i="10"/>
  <c r="BJ94" i="10"/>
  <c r="BI94" i="10"/>
  <c r="BH94" i="10"/>
  <c r="BG94" i="10"/>
  <c r="BF94" i="10"/>
  <c r="BE94" i="10"/>
  <c r="BD94" i="10"/>
  <c r="BC94" i="10"/>
  <c r="BB94" i="10"/>
  <c r="AY94" i="10"/>
  <c r="AX94" i="10"/>
  <c r="AW94" i="10"/>
  <c r="AV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J82" i="9"/>
  <c r="AJ81" i="9"/>
  <c r="AJ80" i="9"/>
  <c r="AJ79" i="9"/>
  <c r="AJ78" i="9"/>
  <c r="BO82" i="9"/>
  <c r="BN82" i="9"/>
  <c r="BM82" i="9"/>
  <c r="BL82" i="9"/>
  <c r="BK82" i="9"/>
  <c r="BJ82" i="9"/>
  <c r="BI82" i="9"/>
  <c r="BH82" i="9"/>
  <c r="BG82" i="9"/>
  <c r="BF82" i="9"/>
  <c r="BE82" i="9"/>
  <c r="BD82" i="9"/>
  <c r="BC82" i="9"/>
  <c r="BB82" i="9"/>
  <c r="BA82" i="9"/>
  <c r="AZ82" i="9"/>
  <c r="AY82" i="9"/>
  <c r="AX82" i="9"/>
  <c r="AW82" i="9"/>
  <c r="AV82" i="9"/>
  <c r="AU82" i="9"/>
  <c r="AT82" i="9"/>
  <c r="AS82" i="9"/>
  <c r="AR82" i="9"/>
  <c r="AQ82" i="9"/>
  <c r="AP82" i="9"/>
  <c r="AO82" i="9"/>
  <c r="AN82" i="9"/>
  <c r="AM82" i="9"/>
  <c r="AL82" i="9"/>
  <c r="AK82" i="9"/>
  <c r="BO81" i="9"/>
  <c r="BN81" i="9"/>
  <c r="BM81" i="9"/>
  <c r="BL81" i="9"/>
  <c r="BK81" i="9"/>
  <c r="BJ81" i="9"/>
  <c r="BI81" i="9"/>
  <c r="BH81" i="9"/>
  <c r="BG81" i="9"/>
  <c r="BF81" i="9"/>
  <c r="BE81" i="9"/>
  <c r="BD81" i="9"/>
  <c r="BC81" i="9"/>
  <c r="BB81" i="9"/>
  <c r="BA81" i="9"/>
  <c r="AZ81" i="9"/>
  <c r="AY81" i="9"/>
  <c r="AX81" i="9"/>
  <c r="AW81" i="9"/>
  <c r="AV81" i="9"/>
  <c r="AU81" i="9"/>
  <c r="AT81" i="9"/>
  <c r="AS81" i="9"/>
  <c r="AR81" i="9"/>
  <c r="AQ81" i="9"/>
  <c r="AP81" i="9"/>
  <c r="AO81" i="9"/>
  <c r="AN81" i="9"/>
  <c r="AM81" i="9"/>
  <c r="AL81" i="9"/>
  <c r="AK81" i="9"/>
  <c r="BO80" i="9"/>
  <c r="BN80" i="9"/>
  <c r="BM80" i="9"/>
  <c r="BL80" i="9"/>
  <c r="BK80" i="9"/>
  <c r="BJ80" i="9"/>
  <c r="BI80" i="9"/>
  <c r="BH80" i="9"/>
  <c r="BG80" i="9"/>
  <c r="BF80" i="9"/>
  <c r="BE80" i="9"/>
  <c r="BD80" i="9"/>
  <c r="BC80" i="9"/>
  <c r="BB80" i="9"/>
  <c r="BA80" i="9"/>
  <c r="AZ80" i="9"/>
  <c r="AY80" i="9"/>
  <c r="AX80" i="9"/>
  <c r="AW80" i="9"/>
  <c r="AV80" i="9"/>
  <c r="AU80" i="9"/>
  <c r="AT80" i="9"/>
  <c r="AS80" i="9"/>
  <c r="AR80" i="9"/>
  <c r="AQ80" i="9"/>
  <c r="AP80" i="9"/>
  <c r="AO80" i="9"/>
  <c r="AN80" i="9"/>
  <c r="AM80" i="9"/>
  <c r="AL80" i="9"/>
  <c r="AK80" i="9"/>
  <c r="BO79" i="9"/>
  <c r="BN79" i="9"/>
  <c r="BM79" i="9"/>
  <c r="BL79" i="9"/>
  <c r="BK79" i="9"/>
  <c r="BJ79" i="9"/>
  <c r="BI79" i="9"/>
  <c r="BH79" i="9"/>
  <c r="BG79" i="9"/>
  <c r="BF79" i="9"/>
  <c r="BE79" i="9"/>
  <c r="BD79" i="9"/>
  <c r="BC79" i="9"/>
  <c r="BB79" i="9"/>
  <c r="BA79" i="9"/>
  <c r="AZ79" i="9"/>
  <c r="AY79" i="9"/>
  <c r="AX79" i="9"/>
  <c r="AW79" i="9"/>
  <c r="AV79" i="9"/>
  <c r="AU79" i="9"/>
  <c r="AT79" i="9"/>
  <c r="AS79" i="9"/>
  <c r="AR79" i="9"/>
  <c r="AQ79" i="9"/>
  <c r="AP79" i="9"/>
  <c r="AO79" i="9"/>
  <c r="AN79" i="9"/>
  <c r="AM79" i="9"/>
  <c r="AL79" i="9"/>
  <c r="AK79" i="9"/>
  <c r="BO78" i="9"/>
  <c r="BN78" i="9"/>
  <c r="BM78" i="9"/>
  <c r="BL78" i="9"/>
  <c r="BK78" i="9"/>
  <c r="BJ78" i="9"/>
  <c r="BI78" i="9"/>
  <c r="BH78" i="9"/>
  <c r="BG78" i="9"/>
  <c r="BF78" i="9"/>
  <c r="BE78" i="9"/>
  <c r="BD78" i="9"/>
  <c r="BC78" i="9"/>
  <c r="BB78" i="9"/>
  <c r="BA78" i="9"/>
  <c r="AZ78" i="9"/>
  <c r="AY78" i="9"/>
  <c r="AX78" i="9"/>
  <c r="AW78" i="9"/>
  <c r="AV78" i="9"/>
  <c r="AU78" i="9"/>
  <c r="AT78" i="9"/>
  <c r="AS78" i="9"/>
  <c r="AR78" i="9"/>
  <c r="AQ78" i="9"/>
  <c r="AP78" i="9"/>
  <c r="AO78" i="9"/>
  <c r="AN78" i="9"/>
  <c r="AM78" i="9"/>
  <c r="AL78" i="9"/>
  <c r="AK78" i="9"/>
  <c r="BO23" i="7"/>
  <c r="BO25" i="7" s="1"/>
  <c r="BN23" i="7"/>
  <c r="BN25" i="7" s="1"/>
  <c r="BM23" i="7"/>
  <c r="BM25" i="7" s="1"/>
  <c r="BL23" i="7"/>
  <c r="BL25" i="7" s="1"/>
  <c r="BK23" i="7"/>
  <c r="BK25" i="7" s="1"/>
  <c r="BJ23" i="7"/>
  <c r="BJ25" i="7" s="1"/>
  <c r="BI23" i="7"/>
  <c r="BI25" i="7" s="1"/>
  <c r="BH23" i="7"/>
  <c r="BH25" i="7" s="1"/>
  <c r="BG23" i="7"/>
  <c r="BG25" i="7" s="1"/>
  <c r="BF23" i="7"/>
  <c r="BF25" i="7" s="1"/>
  <c r="BE23" i="7"/>
  <c r="BE25" i="7" s="1"/>
  <c r="BD23" i="7"/>
  <c r="BD25" i="7" s="1"/>
  <c r="BC23" i="7"/>
  <c r="BC25" i="7" s="1"/>
  <c r="BB23" i="7"/>
  <c r="BB25" i="7" s="1"/>
  <c r="BA23" i="7"/>
  <c r="BA25" i="7" s="1"/>
  <c r="AZ23" i="7"/>
  <c r="AZ25" i="7" s="1"/>
  <c r="AY23" i="7"/>
  <c r="AY25" i="7" s="1"/>
  <c r="AX23" i="7"/>
  <c r="AX25" i="7" s="1"/>
  <c r="AW23" i="7"/>
  <c r="AW25" i="7" s="1"/>
  <c r="AV23" i="7"/>
  <c r="AV25" i="7" s="1"/>
  <c r="AU23" i="7"/>
  <c r="AU25" i="7" s="1"/>
  <c r="AT23" i="7"/>
  <c r="AT25" i="7" s="1"/>
  <c r="AS23" i="7"/>
  <c r="AS25" i="7" s="1"/>
  <c r="AR23" i="7"/>
  <c r="AR25" i="7" s="1"/>
  <c r="AQ23" i="7"/>
  <c r="AQ25" i="7" s="1"/>
  <c r="AP23" i="7"/>
  <c r="AP25" i="7" s="1"/>
  <c r="AO23" i="7"/>
  <c r="AO25" i="7" s="1"/>
  <c r="AN23" i="7"/>
  <c r="AN25" i="7" s="1"/>
  <c r="AM23" i="7"/>
  <c r="AM25" i="7" s="1"/>
  <c r="AL23" i="7"/>
  <c r="AL25" i="7" s="1"/>
  <c r="AK23" i="7"/>
  <c r="AK25" i="7" s="1"/>
  <c r="BO21" i="7"/>
  <c r="BN21" i="7"/>
  <c r="BM21" i="7"/>
  <c r="BL21" i="7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BI15" i="1"/>
  <c r="BI13" i="1"/>
  <c r="BI7" i="1"/>
  <c r="M15" i="1"/>
  <c r="M13" i="1"/>
  <c r="M7" i="1"/>
  <c r="BQ13" i="1" l="1"/>
  <c r="CA38" i="14"/>
  <c r="AI72" i="11"/>
  <c r="AH72" i="1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B72" i="11"/>
  <c r="AI71" i="11"/>
  <c r="AH71" i="11"/>
  <c r="AG71" i="11"/>
  <c r="AF71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B71" i="11"/>
  <c r="AI99" i="10"/>
  <c r="AH99" i="10"/>
  <c r="AG99" i="10"/>
  <c r="AF99" i="10"/>
  <c r="AE99" i="10"/>
  <c r="AD99" i="10"/>
  <c r="AC99" i="10"/>
  <c r="AB99" i="10"/>
  <c r="AA99" i="10"/>
  <c r="Z99" i="10"/>
  <c r="Y99" i="10"/>
  <c r="X99" i="10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B99" i="10"/>
  <c r="AI98" i="10"/>
  <c r="AH98" i="10"/>
  <c r="AG98" i="10"/>
  <c r="AF98" i="10"/>
  <c r="AE98" i="10"/>
  <c r="AD98" i="10"/>
  <c r="AC98" i="10"/>
  <c r="AB98" i="10"/>
  <c r="AA98" i="10"/>
  <c r="Z98" i="10"/>
  <c r="Y98" i="10"/>
  <c r="X98" i="10"/>
  <c r="W98" i="10"/>
  <c r="V98" i="10"/>
  <c r="U98" i="10"/>
  <c r="T98" i="10"/>
  <c r="S98" i="10"/>
  <c r="R98" i="10"/>
  <c r="Q98" i="10"/>
  <c r="P98" i="10"/>
  <c r="O98" i="10"/>
  <c r="N98" i="10"/>
  <c r="M98" i="10"/>
  <c r="L98" i="10"/>
  <c r="K98" i="10"/>
  <c r="J98" i="10"/>
  <c r="I98" i="10"/>
  <c r="H98" i="10"/>
  <c r="G98" i="10"/>
  <c r="F98" i="10"/>
  <c r="E98" i="10"/>
  <c r="D98" i="10"/>
  <c r="C98" i="10"/>
  <c r="B98" i="10"/>
  <c r="AI97" i="10"/>
  <c r="AH97" i="10"/>
  <c r="AG97" i="10"/>
  <c r="AF97" i="10"/>
  <c r="AE97" i="10"/>
  <c r="AD97" i="10"/>
  <c r="AC97" i="10"/>
  <c r="AB97" i="10"/>
  <c r="AA97" i="10"/>
  <c r="Z97" i="10"/>
  <c r="Y97" i="10"/>
  <c r="X97" i="10"/>
  <c r="W97" i="10"/>
  <c r="V97" i="10"/>
  <c r="U97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B97" i="10"/>
  <c r="AI96" i="10"/>
  <c r="AH96" i="10"/>
  <c r="AG96" i="10"/>
  <c r="AF96" i="10"/>
  <c r="AE96" i="10"/>
  <c r="AD96" i="10"/>
  <c r="AC96" i="10"/>
  <c r="AB96" i="10"/>
  <c r="AA96" i="10"/>
  <c r="Z96" i="10"/>
  <c r="Y96" i="10"/>
  <c r="X96" i="10"/>
  <c r="W96" i="10"/>
  <c r="V96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C96" i="10"/>
  <c r="B96" i="10"/>
  <c r="AI95" i="10"/>
  <c r="AH95" i="10"/>
  <c r="AG95" i="10"/>
  <c r="AF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B95" i="10"/>
  <c r="AI80" i="9"/>
  <c r="AH80" i="9"/>
  <c r="AG80" i="9"/>
  <c r="AF80" i="9"/>
  <c r="AE80" i="9"/>
  <c r="AD80" i="9"/>
  <c r="AC80" i="9"/>
  <c r="AB80" i="9"/>
  <c r="AA80" i="9"/>
  <c r="Z80" i="9"/>
  <c r="Y80" i="9"/>
  <c r="X80" i="9"/>
  <c r="W80" i="9"/>
  <c r="V80" i="9"/>
  <c r="T80" i="9"/>
  <c r="S80" i="9"/>
  <c r="R80" i="9"/>
  <c r="Q80" i="9"/>
  <c r="P80" i="9"/>
  <c r="O80" i="9"/>
  <c r="N80" i="9"/>
  <c r="M80" i="9"/>
  <c r="L80" i="9"/>
  <c r="K80" i="9"/>
  <c r="J80" i="9"/>
  <c r="I80" i="9"/>
  <c r="H80" i="9"/>
  <c r="G80" i="9"/>
  <c r="F80" i="9"/>
  <c r="E80" i="9"/>
  <c r="D80" i="9"/>
  <c r="C80" i="9"/>
  <c r="B80" i="9"/>
  <c r="AI79" i="9"/>
  <c r="AH79" i="9"/>
  <c r="AG79" i="9"/>
  <c r="AF79" i="9"/>
  <c r="AE79" i="9"/>
  <c r="AD79" i="9"/>
  <c r="AC79" i="9"/>
  <c r="AB79" i="9"/>
  <c r="AA79" i="9"/>
  <c r="Z79" i="9"/>
  <c r="Y79" i="9"/>
  <c r="X79" i="9"/>
  <c r="W79" i="9"/>
  <c r="V79" i="9"/>
  <c r="T79" i="9"/>
  <c r="S79" i="9"/>
  <c r="R79" i="9"/>
  <c r="Q79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C79" i="9"/>
  <c r="B79" i="9"/>
  <c r="BP98" i="10" l="1"/>
  <c r="BQ71" i="11"/>
  <c r="BP71" i="11"/>
  <c r="BP72" i="11"/>
  <c r="BQ72" i="11"/>
  <c r="BQ98" i="10"/>
  <c r="BP99" i="10"/>
  <c r="BP95" i="10"/>
  <c r="BQ95" i="10"/>
  <c r="BQ99" i="10"/>
  <c r="BP96" i="10"/>
  <c r="BQ96" i="10"/>
  <c r="BP97" i="10"/>
  <c r="BQ97" i="10"/>
  <c r="BP79" i="9"/>
  <c r="BP80" i="9"/>
  <c r="BQ80" i="9"/>
  <c r="BQ79" i="9"/>
  <c r="BI16" i="14"/>
  <c r="BI15" i="14"/>
  <c r="BI14" i="14"/>
  <c r="BI13" i="14"/>
  <c r="BI12" i="14"/>
  <c r="BI11" i="14"/>
  <c r="BI10" i="14"/>
  <c r="BI9" i="14"/>
  <c r="AC15" i="16" l="1"/>
  <c r="AI4" i="16"/>
  <c r="AI5" i="16"/>
  <c r="AI6" i="16"/>
  <c r="AI7" i="16"/>
  <c r="AI8" i="16"/>
  <c r="AI9" i="16"/>
  <c r="AI10" i="16"/>
  <c r="AI12" i="16"/>
  <c r="AI13" i="16"/>
  <c r="AI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D15" i="16"/>
  <c r="AE15" i="16"/>
  <c r="AF15" i="16"/>
  <c r="AG15" i="16"/>
  <c r="AH15" i="16"/>
  <c r="AI16" i="16"/>
  <c r="AI17" i="16"/>
  <c r="AI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AD19" i="16"/>
  <c r="AE19" i="16"/>
  <c r="AF19" i="16"/>
  <c r="AG19" i="16"/>
  <c r="AH19" i="16"/>
  <c r="CQ37" i="14"/>
  <c r="CO37" i="14"/>
  <c r="CN37" i="14"/>
  <c r="CL37" i="14"/>
  <c r="CK37" i="14"/>
  <c r="CH37" i="14"/>
  <c r="CF37" i="14"/>
  <c r="CF38" i="14" s="1"/>
  <c r="CE37" i="14"/>
  <c r="CC37" i="14"/>
  <c r="CB37" i="14"/>
  <c r="BV37" i="14"/>
  <c r="BT37" i="14"/>
  <c r="BS37" i="14"/>
  <c r="BQ37" i="14"/>
  <c r="BP37" i="14"/>
  <c r="BN37" i="14"/>
  <c r="BM37" i="14"/>
  <c r="BK37" i="14"/>
  <c r="BJ37" i="14"/>
  <c r="BH37" i="14"/>
  <c r="BG37" i="14"/>
  <c r="BE37" i="14"/>
  <c r="BD37" i="14"/>
  <c r="BB37" i="14"/>
  <c r="BA37" i="14"/>
  <c r="AY37" i="14"/>
  <c r="AX37" i="14"/>
  <c r="AS37" i="14"/>
  <c r="AR37" i="14"/>
  <c r="AP37" i="14"/>
  <c r="AO37" i="14"/>
  <c r="AM37" i="14"/>
  <c r="AL37" i="14"/>
  <c r="AJ37" i="14"/>
  <c r="AI37" i="14"/>
  <c r="AD37" i="14"/>
  <c r="AC37" i="14"/>
  <c r="Z37" i="14"/>
  <c r="X37" i="14"/>
  <c r="W37" i="14"/>
  <c r="U37" i="14"/>
  <c r="T37" i="14"/>
  <c r="O37" i="14"/>
  <c r="N37" i="14"/>
  <c r="L37" i="14"/>
  <c r="K37" i="14"/>
  <c r="I37" i="14"/>
  <c r="H37" i="14"/>
  <c r="E37" i="14"/>
  <c r="C37" i="14"/>
  <c r="B37" i="14"/>
  <c r="CP36" i="14"/>
  <c r="CM36" i="14"/>
  <c r="CJ36" i="14"/>
  <c r="CG36" i="14"/>
  <c r="BX36" i="14"/>
  <c r="BW37" i="14"/>
  <c r="BU36" i="14"/>
  <c r="BR36" i="14"/>
  <c r="BO36" i="14"/>
  <c r="BL36" i="14"/>
  <c r="BI36" i="14"/>
  <c r="BF36" i="14"/>
  <c r="BC36" i="14"/>
  <c r="AZ36" i="14"/>
  <c r="AW36" i="14"/>
  <c r="AT36" i="14"/>
  <c r="AQ36" i="14"/>
  <c r="AN36" i="14"/>
  <c r="AK36" i="14"/>
  <c r="AH36" i="14"/>
  <c r="AE36" i="14"/>
  <c r="AB36" i="14"/>
  <c r="Y36" i="14"/>
  <c r="V36" i="14"/>
  <c r="S36" i="14"/>
  <c r="Q37" i="14"/>
  <c r="P36" i="14"/>
  <c r="M36" i="14"/>
  <c r="J36" i="14"/>
  <c r="G36" i="14"/>
  <c r="D36" i="14"/>
  <c r="CM35" i="14"/>
  <c r="CJ35" i="14"/>
  <c r="CG35" i="14"/>
  <c r="BX35" i="14"/>
  <c r="BU35" i="14"/>
  <c r="BO35" i="14"/>
  <c r="BL35" i="14"/>
  <c r="BI35" i="14"/>
  <c r="BF35" i="14"/>
  <c r="BC35" i="14"/>
  <c r="AZ35" i="14"/>
  <c r="AW35" i="14"/>
  <c r="AT35" i="14"/>
  <c r="AQ35" i="14"/>
  <c r="AN35" i="14"/>
  <c r="AK35" i="14"/>
  <c r="AH35" i="14"/>
  <c r="AE35" i="14"/>
  <c r="AB35" i="14"/>
  <c r="Y35" i="14"/>
  <c r="V35" i="14"/>
  <c r="S35" i="14"/>
  <c r="P35" i="14"/>
  <c r="M35" i="14"/>
  <c r="F37" i="14"/>
  <c r="D35" i="14"/>
  <c r="CS33" i="14"/>
  <c r="CP33" i="14"/>
  <c r="CM33" i="14"/>
  <c r="CJ33" i="14"/>
  <c r="CG33" i="14"/>
  <c r="CD33" i="14"/>
  <c r="BX33" i="14"/>
  <c r="BU33" i="14"/>
  <c r="BR33" i="14"/>
  <c r="BO33" i="14"/>
  <c r="BL33" i="14"/>
  <c r="BI33" i="14"/>
  <c r="BF33" i="14"/>
  <c r="BC33" i="14"/>
  <c r="AZ33" i="14"/>
  <c r="AW33" i="14"/>
  <c r="AT33" i="14"/>
  <c r="AQ33" i="14"/>
  <c r="AN33" i="14"/>
  <c r="AK33" i="14"/>
  <c r="AH33" i="14"/>
  <c r="AE33" i="14"/>
  <c r="AB33" i="14"/>
  <c r="Y33" i="14"/>
  <c r="V33" i="14"/>
  <c r="S33" i="14"/>
  <c r="P33" i="14"/>
  <c r="M33" i="14"/>
  <c r="J33" i="14"/>
  <c r="G33" i="14"/>
  <c r="D33" i="14"/>
  <c r="CS32" i="14"/>
  <c r="CP32" i="14"/>
  <c r="CM32" i="14"/>
  <c r="CJ32" i="14"/>
  <c r="CG32" i="14"/>
  <c r="CD32" i="14"/>
  <c r="BX32" i="14"/>
  <c r="BU32" i="14"/>
  <c r="BR32" i="14"/>
  <c r="BO32" i="14"/>
  <c r="BL32" i="14"/>
  <c r="BI32" i="14"/>
  <c r="BF32" i="14"/>
  <c r="BC32" i="14"/>
  <c r="AZ32" i="14"/>
  <c r="AW32" i="14"/>
  <c r="AT32" i="14"/>
  <c r="AQ32" i="14"/>
  <c r="AN32" i="14"/>
  <c r="AK32" i="14"/>
  <c r="AH32" i="14"/>
  <c r="AE32" i="14"/>
  <c r="AA37" i="14"/>
  <c r="Y32" i="14"/>
  <c r="V32" i="14"/>
  <c r="S32" i="14"/>
  <c r="P32" i="14"/>
  <c r="M32" i="14"/>
  <c r="J32" i="14"/>
  <c r="G32" i="14"/>
  <c r="D32" i="14"/>
  <c r="CS31" i="14"/>
  <c r="CP31" i="14"/>
  <c r="CM31" i="14"/>
  <c r="CJ31" i="14"/>
  <c r="CG31" i="14"/>
  <c r="CD31" i="14"/>
  <c r="BX31" i="14"/>
  <c r="BU31" i="14"/>
  <c r="BR31" i="14"/>
  <c r="BO31" i="14"/>
  <c r="BL31" i="14"/>
  <c r="BI31" i="14"/>
  <c r="BF31" i="14"/>
  <c r="BC31" i="14"/>
  <c r="AZ31" i="14"/>
  <c r="AW31" i="14"/>
  <c r="AT31" i="14"/>
  <c r="AQ31" i="14"/>
  <c r="AN31" i="14"/>
  <c r="AK31" i="14"/>
  <c r="AH31" i="14"/>
  <c r="AE31" i="14"/>
  <c r="AB31" i="14"/>
  <c r="Y31" i="14"/>
  <c r="V31" i="14"/>
  <c r="S31" i="14"/>
  <c r="P31" i="14"/>
  <c r="M31" i="14"/>
  <c r="G31" i="14"/>
  <c r="D31" i="14"/>
  <c r="CS30" i="14"/>
  <c r="CP30" i="14"/>
  <c r="CM30" i="14"/>
  <c r="CJ30" i="14"/>
  <c r="CG30" i="14"/>
  <c r="CD30" i="14"/>
  <c r="BX30" i="14"/>
  <c r="BU30" i="14"/>
  <c r="BR30" i="14"/>
  <c r="BO30" i="14"/>
  <c r="BL30" i="14"/>
  <c r="BI30" i="14"/>
  <c r="BF30" i="14"/>
  <c r="BC30" i="14"/>
  <c r="AZ30" i="14"/>
  <c r="AV37" i="14"/>
  <c r="AU37" i="14"/>
  <c r="AT30" i="14"/>
  <c r="AQ30" i="14"/>
  <c r="AN30" i="14"/>
  <c r="AK30" i="14"/>
  <c r="AH30" i="14"/>
  <c r="AE30" i="14"/>
  <c r="AB30" i="14"/>
  <c r="Y30" i="14"/>
  <c r="V30" i="14"/>
  <c r="S30" i="14"/>
  <c r="P30" i="14"/>
  <c r="M30" i="14"/>
  <c r="J30" i="14"/>
  <c r="G30" i="14"/>
  <c r="D30" i="14"/>
  <c r="CM29" i="14"/>
  <c r="CJ29" i="14"/>
  <c r="CG29" i="14"/>
  <c r="BX29" i="14"/>
  <c r="BU29" i="14"/>
  <c r="BO29" i="14"/>
  <c r="BL29" i="14"/>
  <c r="BI29" i="14"/>
  <c r="BF29" i="14"/>
  <c r="BC29" i="14"/>
  <c r="AZ29" i="14"/>
  <c r="AW29" i="14"/>
  <c r="AT29" i="14"/>
  <c r="AQ29" i="14"/>
  <c r="AN29" i="14"/>
  <c r="AK29" i="14"/>
  <c r="AH29" i="14"/>
  <c r="AE29" i="14"/>
  <c r="AB29" i="14"/>
  <c r="Y29" i="14"/>
  <c r="V29" i="14"/>
  <c r="S29" i="14"/>
  <c r="P29" i="14"/>
  <c r="M29" i="14"/>
  <c r="G29" i="14"/>
  <c r="D29" i="14"/>
  <c r="CM28" i="14"/>
  <c r="CJ28" i="14"/>
  <c r="CG28" i="14"/>
  <c r="BX28" i="14"/>
  <c r="BU28" i="14"/>
  <c r="BO28" i="14"/>
  <c r="BL28" i="14"/>
  <c r="BI28" i="14"/>
  <c r="BF28" i="14"/>
  <c r="BC28" i="14"/>
  <c r="AZ28" i="14"/>
  <c r="AW28" i="14"/>
  <c r="AT28" i="14"/>
  <c r="AQ28" i="14"/>
  <c r="AN28" i="14"/>
  <c r="AK28" i="14"/>
  <c r="AH28" i="14"/>
  <c r="AE28" i="14"/>
  <c r="AB28" i="14"/>
  <c r="Y28" i="14"/>
  <c r="V28" i="14"/>
  <c r="S28" i="14"/>
  <c r="P28" i="14"/>
  <c r="M28" i="14"/>
  <c r="G28" i="14"/>
  <c r="D28" i="14"/>
  <c r="CS27" i="14"/>
  <c r="CM27" i="14"/>
  <c r="CJ27" i="14"/>
  <c r="CG27" i="14"/>
  <c r="CD27" i="14"/>
  <c r="BX27" i="14"/>
  <c r="BU27" i="14"/>
  <c r="BO27" i="14"/>
  <c r="BL27" i="14"/>
  <c r="BI27" i="14"/>
  <c r="BF27" i="14"/>
  <c r="BC27" i="14"/>
  <c r="AZ27" i="14"/>
  <c r="AW27" i="14"/>
  <c r="AT27" i="14"/>
  <c r="AQ27" i="14"/>
  <c r="AN27" i="14"/>
  <c r="AK27" i="14"/>
  <c r="AH27" i="14"/>
  <c r="AE27" i="14"/>
  <c r="AB27" i="14"/>
  <c r="Y27" i="14"/>
  <c r="V27" i="14"/>
  <c r="S27" i="14"/>
  <c r="P27" i="14"/>
  <c r="M27" i="14"/>
  <c r="J27" i="14"/>
  <c r="G27" i="14"/>
  <c r="D27" i="14"/>
  <c r="CS26" i="14"/>
  <c r="CP26" i="14"/>
  <c r="CM26" i="14"/>
  <c r="CJ26" i="14"/>
  <c r="CG26" i="14"/>
  <c r="CD26" i="14"/>
  <c r="BX26" i="14"/>
  <c r="BU26" i="14"/>
  <c r="BR26" i="14"/>
  <c r="BO26" i="14"/>
  <c r="BL26" i="14"/>
  <c r="BI26" i="14"/>
  <c r="BF26" i="14"/>
  <c r="BC26" i="14"/>
  <c r="AZ26" i="14"/>
  <c r="AW26" i="14"/>
  <c r="AT26" i="14"/>
  <c r="AQ26" i="14"/>
  <c r="AN26" i="14"/>
  <c r="AK26" i="14"/>
  <c r="AH26" i="14"/>
  <c r="AE26" i="14"/>
  <c r="AB26" i="14"/>
  <c r="Y26" i="14"/>
  <c r="V26" i="14"/>
  <c r="S26" i="14"/>
  <c r="P26" i="14"/>
  <c r="M26" i="14"/>
  <c r="J26" i="14"/>
  <c r="G26" i="14"/>
  <c r="D26" i="14"/>
  <c r="CS25" i="14"/>
  <c r="CP25" i="14"/>
  <c r="CM25" i="14"/>
  <c r="CJ25" i="14"/>
  <c r="CG25" i="14"/>
  <c r="CD25" i="14"/>
  <c r="BX25" i="14"/>
  <c r="BU25" i="14"/>
  <c r="BR25" i="14"/>
  <c r="BO25" i="14"/>
  <c r="BL25" i="14"/>
  <c r="BI25" i="14"/>
  <c r="BF25" i="14"/>
  <c r="BC25" i="14"/>
  <c r="AZ25" i="14"/>
  <c r="AW25" i="14"/>
  <c r="AT25" i="14"/>
  <c r="AQ25" i="14"/>
  <c r="AN25" i="14"/>
  <c r="AK25" i="14"/>
  <c r="AH25" i="14"/>
  <c r="AE25" i="14"/>
  <c r="AB25" i="14"/>
  <c r="Y25" i="14"/>
  <c r="V25" i="14"/>
  <c r="S25" i="14"/>
  <c r="P25" i="14"/>
  <c r="M25" i="14"/>
  <c r="J25" i="14"/>
  <c r="G25" i="14"/>
  <c r="D25" i="14"/>
  <c r="CS24" i="14"/>
  <c r="CP24" i="14"/>
  <c r="CM24" i="14"/>
  <c r="CJ24" i="14"/>
  <c r="CG24" i="14"/>
  <c r="CD24" i="14"/>
  <c r="CD37" i="14" s="1"/>
  <c r="BX24" i="14"/>
  <c r="BU24" i="14"/>
  <c r="BR24" i="14"/>
  <c r="BO24" i="14"/>
  <c r="BL24" i="14"/>
  <c r="BI24" i="14"/>
  <c r="BF24" i="14"/>
  <c r="BC24" i="14"/>
  <c r="AZ24" i="14"/>
  <c r="AW24" i="14"/>
  <c r="AT24" i="14"/>
  <c r="AQ24" i="14"/>
  <c r="AN24" i="14"/>
  <c r="AK24" i="14"/>
  <c r="AH24" i="14"/>
  <c r="AE24" i="14"/>
  <c r="AB24" i="14"/>
  <c r="Y24" i="14"/>
  <c r="V24" i="14"/>
  <c r="S24" i="14"/>
  <c r="P24" i="14"/>
  <c r="M24" i="14"/>
  <c r="J24" i="14"/>
  <c r="G24" i="14"/>
  <c r="D24" i="14"/>
  <c r="CR37" i="14"/>
  <c r="CP23" i="14"/>
  <c r="CM23" i="14"/>
  <c r="CJ23" i="14"/>
  <c r="CG23" i="14"/>
  <c r="BX23" i="14"/>
  <c r="BU23" i="14"/>
  <c r="BR23" i="14"/>
  <c r="BO23" i="14"/>
  <c r="BL23" i="14"/>
  <c r="BI23" i="14"/>
  <c r="BF23" i="14"/>
  <c r="BC23" i="14"/>
  <c r="AZ23" i="14"/>
  <c r="AW23" i="14"/>
  <c r="AT23" i="14"/>
  <c r="AQ23" i="14"/>
  <c r="AN23" i="14"/>
  <c r="AK23" i="14"/>
  <c r="AH23" i="14"/>
  <c r="AE23" i="14"/>
  <c r="AB23" i="14"/>
  <c r="Y23" i="14"/>
  <c r="V23" i="14"/>
  <c r="S23" i="14"/>
  <c r="P23" i="14"/>
  <c r="M23" i="14"/>
  <c r="G23" i="14"/>
  <c r="D23" i="14"/>
  <c r="CM22" i="14"/>
  <c r="CJ22" i="14"/>
  <c r="CG22" i="14"/>
  <c r="BX22" i="14"/>
  <c r="BU22" i="14"/>
  <c r="BO22" i="14"/>
  <c r="BL22" i="14"/>
  <c r="BI22" i="14"/>
  <c r="BF22" i="14"/>
  <c r="BC22" i="14"/>
  <c r="AZ22" i="14"/>
  <c r="AW22" i="14"/>
  <c r="AT22" i="14"/>
  <c r="AQ22" i="14"/>
  <c r="AN22" i="14"/>
  <c r="AK22" i="14"/>
  <c r="AH22" i="14"/>
  <c r="AG37" i="14"/>
  <c r="AF37" i="14"/>
  <c r="AE22" i="14"/>
  <c r="AB22" i="14"/>
  <c r="Y22" i="14"/>
  <c r="V22" i="14"/>
  <c r="S22" i="14"/>
  <c r="P22" i="14"/>
  <c r="M22" i="14"/>
  <c r="G22" i="14"/>
  <c r="D22" i="14"/>
  <c r="CR20" i="14"/>
  <c r="CO20" i="14"/>
  <c r="CN20" i="14"/>
  <c r="CL20" i="14"/>
  <c r="CK20" i="14"/>
  <c r="CE20" i="14"/>
  <c r="CE38" i="14" s="1"/>
  <c r="CC20" i="14"/>
  <c r="CB20" i="14"/>
  <c r="BT20" i="14"/>
  <c r="BS20" i="14"/>
  <c r="BQ20" i="14"/>
  <c r="BP20" i="14"/>
  <c r="BN20" i="14"/>
  <c r="BM20" i="14"/>
  <c r="BK20" i="14"/>
  <c r="BJ20" i="14"/>
  <c r="BH20" i="14"/>
  <c r="BG20" i="14"/>
  <c r="BE20" i="14"/>
  <c r="BD20" i="14"/>
  <c r="BB20" i="14"/>
  <c r="BA20" i="14"/>
  <c r="AY20" i="14"/>
  <c r="AX20" i="14"/>
  <c r="AS20" i="14"/>
  <c r="AR20" i="14"/>
  <c r="AM20" i="14"/>
  <c r="AL20" i="14"/>
  <c r="AJ20" i="14"/>
  <c r="AI20" i="14"/>
  <c r="AD20" i="14"/>
  <c r="AC20" i="14"/>
  <c r="AA20" i="14"/>
  <c r="Z20" i="14"/>
  <c r="X20" i="14"/>
  <c r="W20" i="14"/>
  <c r="O20" i="14"/>
  <c r="N20" i="14"/>
  <c r="L20" i="14"/>
  <c r="K20" i="14"/>
  <c r="I20" i="14"/>
  <c r="H20" i="14"/>
  <c r="E20" i="14"/>
  <c r="C20" i="14"/>
  <c r="B20" i="14"/>
  <c r="CP19" i="14"/>
  <c r="CM19" i="14"/>
  <c r="CJ19" i="14"/>
  <c r="CG19" i="14"/>
  <c r="BX19" i="14"/>
  <c r="BV20" i="14"/>
  <c r="BU19" i="14"/>
  <c r="BR19" i="14"/>
  <c r="BO19" i="14"/>
  <c r="BL19" i="14"/>
  <c r="BI19" i="14"/>
  <c r="BF19" i="14"/>
  <c r="BC19" i="14"/>
  <c r="AZ19" i="14"/>
  <c r="AW19" i="14"/>
  <c r="AT19" i="14"/>
  <c r="AP20" i="14"/>
  <c r="AO20" i="14"/>
  <c r="AN19" i="14"/>
  <c r="AK19" i="14"/>
  <c r="AH19" i="14"/>
  <c r="AE19" i="14"/>
  <c r="AB19" i="14"/>
  <c r="Y19" i="14"/>
  <c r="V19" i="14"/>
  <c r="T20" i="14"/>
  <c r="R20" i="14"/>
  <c r="Q20" i="14"/>
  <c r="P19" i="14"/>
  <c r="M19" i="14"/>
  <c r="G19" i="14"/>
  <c r="D19" i="14"/>
  <c r="CM18" i="14"/>
  <c r="CJ18" i="14"/>
  <c r="CH20" i="14"/>
  <c r="CH38" i="14" s="1"/>
  <c r="CG18" i="14"/>
  <c r="BX18" i="14"/>
  <c r="BU18" i="14"/>
  <c r="BO18" i="14"/>
  <c r="BL18" i="14"/>
  <c r="BI18" i="14"/>
  <c r="BF18" i="14"/>
  <c r="BC18" i="14"/>
  <c r="AZ18" i="14"/>
  <c r="AW18" i="14"/>
  <c r="AT18" i="14"/>
  <c r="AQ18" i="14"/>
  <c r="AN18" i="14"/>
  <c r="AK18" i="14"/>
  <c r="AH18" i="14"/>
  <c r="AE18" i="14"/>
  <c r="AB18" i="14"/>
  <c r="Y18" i="14"/>
  <c r="V18" i="14"/>
  <c r="S18" i="14"/>
  <c r="P18" i="14"/>
  <c r="M18" i="14"/>
  <c r="F20" i="14"/>
  <c r="D18" i="14"/>
  <c r="CS17" i="14"/>
  <c r="CP17" i="14"/>
  <c r="CM17" i="14"/>
  <c r="CJ17" i="14"/>
  <c r="CG17" i="14"/>
  <c r="CD17" i="14"/>
  <c r="BX17" i="14"/>
  <c r="BU17" i="14"/>
  <c r="BR17" i="14"/>
  <c r="BO17" i="14"/>
  <c r="BL17" i="14"/>
  <c r="BI17" i="14"/>
  <c r="BF17" i="14"/>
  <c r="BC17" i="14"/>
  <c r="AZ17" i="14"/>
  <c r="AW17" i="14"/>
  <c r="AT17" i="14"/>
  <c r="AQ17" i="14"/>
  <c r="AN17" i="14"/>
  <c r="AK17" i="14"/>
  <c r="AH17" i="14"/>
  <c r="AE17" i="14"/>
  <c r="AB17" i="14"/>
  <c r="Y17" i="14"/>
  <c r="V17" i="14"/>
  <c r="S17" i="14"/>
  <c r="P17" i="14"/>
  <c r="M17" i="14"/>
  <c r="J17" i="14"/>
  <c r="G17" i="14"/>
  <c r="D17" i="14"/>
  <c r="CS16" i="14"/>
  <c r="CM16" i="14"/>
  <c r="CJ16" i="14"/>
  <c r="CG16" i="14"/>
  <c r="CD16" i="14"/>
  <c r="BX16" i="14"/>
  <c r="BU16" i="14"/>
  <c r="BO16" i="14"/>
  <c r="BL16" i="14"/>
  <c r="BF16" i="14"/>
  <c r="BC16" i="14"/>
  <c r="AZ16" i="14"/>
  <c r="AW16" i="14"/>
  <c r="AT16" i="14"/>
  <c r="AQ16" i="14"/>
  <c r="AN16" i="14"/>
  <c r="AK16" i="14"/>
  <c r="AH16" i="14"/>
  <c r="AE16" i="14"/>
  <c r="AB16" i="14"/>
  <c r="Y16" i="14"/>
  <c r="V16" i="14"/>
  <c r="S16" i="14"/>
  <c r="P16" i="14"/>
  <c r="M16" i="14"/>
  <c r="J16" i="14"/>
  <c r="G16" i="14"/>
  <c r="D16" i="14"/>
  <c r="CS15" i="14"/>
  <c r="CP15" i="14"/>
  <c r="CM15" i="14"/>
  <c r="CJ15" i="14"/>
  <c r="CG15" i="14"/>
  <c r="CD15" i="14"/>
  <c r="BX15" i="14"/>
  <c r="BU15" i="14"/>
  <c r="BR15" i="14"/>
  <c r="BO15" i="14"/>
  <c r="BL15" i="14"/>
  <c r="BF15" i="14"/>
  <c r="BC15" i="14"/>
  <c r="AZ15" i="14"/>
  <c r="AV20" i="14"/>
  <c r="AU20" i="14"/>
  <c r="AT15" i="14"/>
  <c r="AQ15" i="14"/>
  <c r="AN15" i="14"/>
  <c r="AK15" i="14"/>
  <c r="AH15" i="14"/>
  <c r="AE15" i="14"/>
  <c r="AB15" i="14"/>
  <c r="Y15" i="14"/>
  <c r="V15" i="14"/>
  <c r="S15" i="14"/>
  <c r="P15" i="14"/>
  <c r="M15" i="14"/>
  <c r="J15" i="14"/>
  <c r="G15" i="14"/>
  <c r="D15" i="14"/>
  <c r="CS14" i="14"/>
  <c r="CM14" i="14"/>
  <c r="CJ14" i="14"/>
  <c r="CG14" i="14"/>
  <c r="CD14" i="14"/>
  <c r="BX14" i="14"/>
  <c r="BU14" i="14"/>
  <c r="BO14" i="14"/>
  <c r="BL14" i="14"/>
  <c r="BF14" i="14"/>
  <c r="BC14" i="14"/>
  <c r="AZ14" i="14"/>
  <c r="AW14" i="14"/>
  <c r="AT14" i="14"/>
  <c r="AQ14" i="14"/>
  <c r="AN14" i="14"/>
  <c r="AK14" i="14"/>
  <c r="AH14" i="14"/>
  <c r="AE14" i="14"/>
  <c r="AB14" i="14"/>
  <c r="Y14" i="14"/>
  <c r="V14" i="14"/>
  <c r="S14" i="14"/>
  <c r="P14" i="14"/>
  <c r="M14" i="14"/>
  <c r="J14" i="14"/>
  <c r="G14" i="14"/>
  <c r="D14" i="14"/>
  <c r="CM13" i="14"/>
  <c r="CJ13" i="14"/>
  <c r="CG13" i="14"/>
  <c r="BX13" i="14"/>
  <c r="BU13" i="14"/>
  <c r="BO13" i="14"/>
  <c r="BL13" i="14"/>
  <c r="BF13" i="14"/>
  <c r="BC13" i="14"/>
  <c r="AZ13" i="14"/>
  <c r="AW13" i="14"/>
  <c r="AT13" i="14"/>
  <c r="AQ13" i="14"/>
  <c r="AN13" i="14"/>
  <c r="AK13" i="14"/>
  <c r="AH13" i="14"/>
  <c r="AE13" i="14"/>
  <c r="AB13" i="14"/>
  <c r="Y13" i="14"/>
  <c r="V13" i="14"/>
  <c r="S13" i="14"/>
  <c r="P13" i="14"/>
  <c r="M13" i="14"/>
  <c r="G13" i="14"/>
  <c r="D13" i="14"/>
  <c r="CS12" i="14"/>
  <c r="CM12" i="14"/>
  <c r="CJ12" i="14"/>
  <c r="CG12" i="14"/>
  <c r="CD12" i="14"/>
  <c r="BX12" i="14"/>
  <c r="BU12" i="14"/>
  <c r="BR12" i="14"/>
  <c r="BO12" i="14"/>
  <c r="BL12" i="14"/>
  <c r="BF12" i="14"/>
  <c r="BC12" i="14"/>
  <c r="AZ12" i="14"/>
  <c r="AW12" i="14"/>
  <c r="AT12" i="14"/>
  <c r="AQ12" i="14"/>
  <c r="AN12" i="14"/>
  <c r="AK12" i="14"/>
  <c r="AH12" i="14"/>
  <c r="AE12" i="14"/>
  <c r="AB12" i="14"/>
  <c r="Y12" i="14"/>
  <c r="V12" i="14"/>
  <c r="S12" i="14"/>
  <c r="P12" i="14"/>
  <c r="M12" i="14"/>
  <c r="J12" i="14"/>
  <c r="G12" i="14"/>
  <c r="D12" i="14"/>
  <c r="CS11" i="14"/>
  <c r="CM11" i="14"/>
  <c r="CJ11" i="14"/>
  <c r="CG11" i="14"/>
  <c r="CD11" i="14"/>
  <c r="BX11" i="14"/>
  <c r="BU11" i="14"/>
  <c r="BO11" i="14"/>
  <c r="BL11" i="14"/>
  <c r="BF11" i="14"/>
  <c r="BC11" i="14"/>
  <c r="AZ11" i="14"/>
  <c r="AW11" i="14"/>
  <c r="AT11" i="14"/>
  <c r="AQ11" i="14"/>
  <c r="AN11" i="14"/>
  <c r="AK11" i="14"/>
  <c r="AH11" i="14"/>
  <c r="AE11" i="14"/>
  <c r="AB11" i="14"/>
  <c r="Y11" i="14"/>
  <c r="V11" i="14"/>
  <c r="S11" i="14"/>
  <c r="P11" i="14"/>
  <c r="M11" i="14"/>
  <c r="J11" i="14"/>
  <c r="G11" i="14"/>
  <c r="D11" i="14"/>
  <c r="CM10" i="14"/>
  <c r="CJ10" i="14"/>
  <c r="CG10" i="14"/>
  <c r="BX10" i="14"/>
  <c r="BU10" i="14"/>
  <c r="BO10" i="14"/>
  <c r="BL10" i="14"/>
  <c r="BF10" i="14"/>
  <c r="BC10" i="14"/>
  <c r="AZ10" i="14"/>
  <c r="AW10" i="14"/>
  <c r="AT10" i="14"/>
  <c r="AQ10" i="14"/>
  <c r="AN10" i="14"/>
  <c r="AK10" i="14"/>
  <c r="AH10" i="14"/>
  <c r="AE10" i="14"/>
  <c r="AB10" i="14"/>
  <c r="Y10" i="14"/>
  <c r="V10" i="14"/>
  <c r="S10" i="14"/>
  <c r="P10" i="14"/>
  <c r="M10" i="14"/>
  <c r="G10" i="14"/>
  <c r="D10" i="14"/>
  <c r="CS9" i="14"/>
  <c r="CP9" i="14"/>
  <c r="CM9" i="14"/>
  <c r="CJ9" i="14"/>
  <c r="CG9" i="14"/>
  <c r="CD9" i="14"/>
  <c r="BX9" i="14"/>
  <c r="BU9" i="14"/>
  <c r="BR9" i="14"/>
  <c r="BO9" i="14"/>
  <c r="BL9" i="14"/>
  <c r="BF9" i="14"/>
  <c r="BC9" i="14"/>
  <c r="AZ9" i="14"/>
  <c r="AW9" i="14"/>
  <c r="AT9" i="14"/>
  <c r="AQ9" i="14"/>
  <c r="AN9" i="14"/>
  <c r="AK9" i="14"/>
  <c r="AH9" i="14"/>
  <c r="AE9" i="14"/>
  <c r="AB9" i="14"/>
  <c r="Y9" i="14"/>
  <c r="V9" i="14"/>
  <c r="S9" i="14"/>
  <c r="P9" i="14"/>
  <c r="M9" i="14"/>
  <c r="J9" i="14"/>
  <c r="G9" i="14"/>
  <c r="D9" i="14"/>
  <c r="CS8" i="14"/>
  <c r="CP8" i="14"/>
  <c r="CM8" i="14"/>
  <c r="CJ8" i="14"/>
  <c r="CG8" i="14"/>
  <c r="CD8" i="14"/>
  <c r="BX8" i="14"/>
  <c r="BU8" i="14"/>
  <c r="BR8" i="14"/>
  <c r="BO8" i="14"/>
  <c r="BL8" i="14"/>
  <c r="BI8" i="14"/>
  <c r="BF8" i="14"/>
  <c r="BC8" i="14"/>
  <c r="AZ8" i="14"/>
  <c r="AW8" i="14"/>
  <c r="AT8" i="14"/>
  <c r="AQ8" i="14"/>
  <c r="AN8" i="14"/>
  <c r="AK8" i="14"/>
  <c r="AH8" i="14"/>
  <c r="AE8" i="14"/>
  <c r="AB8" i="14"/>
  <c r="Y8" i="14"/>
  <c r="V8" i="14"/>
  <c r="S8" i="14"/>
  <c r="P8" i="14"/>
  <c r="M8" i="14"/>
  <c r="J8" i="14"/>
  <c r="G8" i="14"/>
  <c r="D8" i="14"/>
  <c r="CS7" i="14"/>
  <c r="CM7" i="14"/>
  <c r="CJ7" i="14"/>
  <c r="CG7" i="14"/>
  <c r="BX7" i="14"/>
  <c r="BU7" i="14"/>
  <c r="BO7" i="14"/>
  <c r="BL7" i="14"/>
  <c r="BI7" i="14"/>
  <c r="BF7" i="14"/>
  <c r="BC7" i="14"/>
  <c r="AZ7" i="14"/>
  <c r="AW7" i="14"/>
  <c r="AT7" i="14"/>
  <c r="AQ7" i="14"/>
  <c r="AN7" i="14"/>
  <c r="AK7" i="14"/>
  <c r="AH7" i="14"/>
  <c r="AE7" i="14"/>
  <c r="AB7" i="14"/>
  <c r="Y7" i="14"/>
  <c r="V7" i="14"/>
  <c r="S7" i="14"/>
  <c r="P7" i="14"/>
  <c r="M7" i="14"/>
  <c r="G7" i="14"/>
  <c r="D7" i="14"/>
  <c r="CM6" i="14"/>
  <c r="CJ6" i="14"/>
  <c r="CG6" i="14"/>
  <c r="BX6" i="14"/>
  <c r="BU6" i="14"/>
  <c r="BO6" i="14"/>
  <c r="BL6" i="14"/>
  <c r="BI6" i="14"/>
  <c r="BF6" i="14"/>
  <c r="BC6" i="14"/>
  <c r="AZ6" i="14"/>
  <c r="AW6" i="14"/>
  <c r="AT6" i="14"/>
  <c r="AQ6" i="14"/>
  <c r="AN6" i="14"/>
  <c r="AK6" i="14"/>
  <c r="AG20" i="14"/>
  <c r="AF20" i="14"/>
  <c r="AE6" i="14"/>
  <c r="AB6" i="14"/>
  <c r="Y6" i="14"/>
  <c r="V6" i="14"/>
  <c r="S6" i="14"/>
  <c r="P6" i="14"/>
  <c r="M6" i="14"/>
  <c r="G6" i="14"/>
  <c r="D6" i="14"/>
  <c r="BR37" i="14" l="1"/>
  <c r="BR20" i="14"/>
  <c r="I38" i="14"/>
  <c r="Y37" i="14"/>
  <c r="AO38" i="14"/>
  <c r="BE38" i="14"/>
  <c r="BI20" i="14"/>
  <c r="J37" i="14"/>
  <c r="AZ37" i="14"/>
  <c r="BL20" i="14"/>
  <c r="B38" i="14"/>
  <c r="AX38" i="14"/>
  <c r="BJ38" i="14"/>
  <c r="Y20" i="14"/>
  <c r="CD20" i="14"/>
  <c r="CD38" i="14" s="1"/>
  <c r="BL37" i="14"/>
  <c r="AZ20" i="14"/>
  <c r="J20" i="14"/>
  <c r="BM38" i="14"/>
  <c r="AF38" i="14"/>
  <c r="C38" i="14"/>
  <c r="AY38" i="14"/>
  <c r="BK38" i="14"/>
  <c r="CB38" i="14"/>
  <c r="AL38" i="14"/>
  <c r="CC38" i="14"/>
  <c r="H38" i="14"/>
  <c r="W38" i="14"/>
  <c r="X38" i="14"/>
  <c r="BP38" i="14"/>
  <c r="BQ38" i="14"/>
  <c r="S37" i="14"/>
  <c r="D37" i="14"/>
  <c r="D20" i="14"/>
  <c r="E38" i="14"/>
  <c r="K38" i="14"/>
  <c r="L38" i="14"/>
  <c r="M20" i="14"/>
  <c r="M37" i="14"/>
  <c r="V37" i="14"/>
  <c r="P37" i="14"/>
  <c r="P20" i="14"/>
  <c r="O38" i="14"/>
  <c r="N38" i="14"/>
  <c r="T38" i="14"/>
  <c r="V20" i="14"/>
  <c r="AB20" i="14"/>
  <c r="AA38" i="14"/>
  <c r="Z38" i="14"/>
  <c r="AN37" i="14"/>
  <c r="AH37" i="14"/>
  <c r="AM38" i="14"/>
  <c r="AN20" i="14"/>
  <c r="AT20" i="14"/>
  <c r="AR38" i="14"/>
  <c r="AS38" i="14"/>
  <c r="AQ37" i="14"/>
  <c r="AT37" i="14"/>
  <c r="BI37" i="14"/>
  <c r="BF37" i="14"/>
  <c r="BC37" i="14"/>
  <c r="BA38" i="14"/>
  <c r="BB38" i="14"/>
  <c r="BC20" i="14"/>
  <c r="BD38" i="14"/>
  <c r="BF20" i="14"/>
  <c r="BG38" i="14"/>
  <c r="BH38" i="14"/>
  <c r="BO20" i="14"/>
  <c r="BN38" i="14"/>
  <c r="BU20" i="14"/>
  <c r="BS38" i="14"/>
  <c r="BT38" i="14"/>
  <c r="BO37" i="14"/>
  <c r="BU37" i="14"/>
  <c r="CG37" i="14"/>
  <c r="BX37" i="14"/>
  <c r="BX20" i="14"/>
  <c r="CG20" i="14"/>
  <c r="CJ20" i="14"/>
  <c r="CM20" i="14"/>
  <c r="CK38" i="14"/>
  <c r="CM37" i="14"/>
  <c r="CL38" i="14"/>
  <c r="CO38" i="14"/>
  <c r="CP20" i="14"/>
  <c r="CP37" i="14"/>
  <c r="CN38" i="14"/>
  <c r="CS37" i="14"/>
  <c r="CR38" i="14"/>
  <c r="CS20" i="14"/>
  <c r="AD38" i="14"/>
  <c r="AE37" i="14"/>
  <c r="AE20" i="14"/>
  <c r="AC38" i="14"/>
  <c r="AI38" i="14"/>
  <c r="AK37" i="14"/>
  <c r="AK20" i="14"/>
  <c r="AJ38" i="14"/>
  <c r="AI19" i="16"/>
  <c r="AI11" i="16"/>
  <c r="AI15" i="16"/>
  <c r="AV38" i="14"/>
  <c r="BV38" i="14"/>
  <c r="AG38" i="14"/>
  <c r="Q38" i="14"/>
  <c r="CJ37" i="14"/>
  <c r="AU38" i="14"/>
  <c r="F38" i="14"/>
  <c r="AP38" i="14"/>
  <c r="AQ19" i="14"/>
  <c r="AQ20" i="14" s="1"/>
  <c r="BW20" i="14"/>
  <c r="BW38" i="14" s="1"/>
  <c r="AH6" i="14"/>
  <c r="AH20" i="14" s="1"/>
  <c r="CI20" i="14"/>
  <c r="CQ20" i="14"/>
  <c r="CQ38" i="14" s="1"/>
  <c r="AB32" i="14"/>
  <c r="AB37" i="14" s="1"/>
  <c r="U20" i="14"/>
  <c r="U38" i="14" s="1"/>
  <c r="R37" i="14"/>
  <c r="R38" i="14" s="1"/>
  <c r="G18" i="14"/>
  <c r="G20" i="14" s="1"/>
  <c r="AW15" i="14"/>
  <c r="AW20" i="14" s="1"/>
  <c r="S19" i="14"/>
  <c r="S20" i="14" s="1"/>
  <c r="AW30" i="14"/>
  <c r="AW37" i="14" s="1"/>
  <c r="CI37" i="14"/>
  <c r="G35" i="14"/>
  <c r="G37" i="14" s="1"/>
  <c r="BL38" i="14" l="1"/>
  <c r="BR38" i="14"/>
  <c r="J38" i="14"/>
  <c r="Y38" i="14"/>
  <c r="AZ38" i="14"/>
  <c r="CJ38" i="14"/>
  <c r="M38" i="14"/>
  <c r="V38" i="14"/>
  <c r="BI38" i="14"/>
  <c r="AQ38" i="14"/>
  <c r="BF38" i="14"/>
  <c r="P38" i="14"/>
  <c r="D38" i="14"/>
  <c r="BX38" i="14"/>
  <c r="AH38" i="14"/>
  <c r="AB38" i="14"/>
  <c r="BC38" i="14"/>
  <c r="CM38" i="14"/>
  <c r="S38" i="14"/>
  <c r="G38" i="14"/>
  <c r="AN38" i="14"/>
  <c r="AT38" i="14"/>
  <c r="AW38" i="14"/>
  <c r="BO38" i="14"/>
  <c r="BU38" i="14"/>
  <c r="CG38" i="14"/>
  <c r="CP38" i="14"/>
  <c r="CS38" i="14"/>
  <c r="AE38" i="14"/>
  <c r="AK38" i="14"/>
  <c r="CI38" i="14"/>
  <c r="EA15" i="2" l="1"/>
  <c r="DZ15" i="2"/>
  <c r="DY15" i="2"/>
  <c r="DX15" i="2"/>
  <c r="DW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FJ15" i="2"/>
  <c r="FI15" i="2"/>
  <c r="FH15" i="2"/>
  <c r="FG15" i="2"/>
  <c r="FF15" i="2"/>
  <c r="FE15" i="2"/>
  <c r="FD15" i="2"/>
  <c r="FC15" i="2"/>
  <c r="FB15" i="2"/>
  <c r="FA15" i="2"/>
  <c r="EZ15" i="2"/>
  <c r="EV15" i="2"/>
  <c r="EU15" i="2"/>
  <c r="ET15" i="2"/>
  <c r="ES15" i="2"/>
  <c r="ER15" i="2"/>
  <c r="EQ15" i="2"/>
  <c r="EP15" i="2"/>
  <c r="EO15" i="2"/>
  <c r="EN15" i="2"/>
  <c r="EM15" i="2"/>
  <c r="EL15" i="2"/>
  <c r="EK15" i="2"/>
  <c r="EJ15" i="2"/>
  <c r="EI15" i="2"/>
  <c r="EH15" i="2"/>
  <c r="EG15" i="2"/>
  <c r="EF15" i="2"/>
  <c r="EE15" i="2"/>
  <c r="ED15" i="2"/>
  <c r="EC15" i="2"/>
  <c r="EB15" i="2"/>
  <c r="DV15" i="2"/>
  <c r="DU15" i="2"/>
  <c r="DT15" i="2"/>
  <c r="DS15" i="2"/>
  <c r="DR15" i="2"/>
  <c r="DQ15" i="2"/>
  <c r="DP15" i="2"/>
  <c r="DO15" i="2"/>
  <c r="DN15" i="2"/>
  <c r="DM15" i="2"/>
  <c r="DL15" i="2"/>
  <c r="DK15" i="2"/>
  <c r="DJ15" i="2"/>
  <c r="DI15" i="2"/>
  <c r="DH15" i="2"/>
  <c r="DG15" i="2"/>
  <c r="DF15" i="2"/>
  <c r="DE15" i="2"/>
  <c r="DD15" i="2"/>
  <c r="DC15" i="2"/>
  <c r="DA15" i="2"/>
  <c r="CZ15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D15" i="2"/>
  <c r="AC15" i="2"/>
  <c r="AB15" i="2"/>
  <c r="AA15" i="2"/>
  <c r="Y15" i="2"/>
  <c r="X15" i="2"/>
  <c r="W15" i="2"/>
  <c r="V15" i="2"/>
  <c r="BZ11" i="3"/>
  <c r="BZ10" i="3"/>
  <c r="BZ9" i="3"/>
  <c r="BZ8" i="3"/>
  <c r="BZ7" i="3"/>
  <c r="BZ6" i="3"/>
  <c r="BZ5" i="3"/>
  <c r="AI23" i="7" l="1"/>
  <c r="AI25" i="7" s="1"/>
  <c r="AH23" i="7"/>
  <c r="AH25" i="7" s="1"/>
  <c r="AG23" i="7"/>
  <c r="AG25" i="7" s="1"/>
  <c r="AF23" i="7"/>
  <c r="AF25" i="7" s="1"/>
  <c r="AE23" i="7"/>
  <c r="AE25" i="7" s="1"/>
  <c r="AD23" i="7"/>
  <c r="AD25" i="7" s="1"/>
  <c r="AC23" i="7"/>
  <c r="AC25" i="7" s="1"/>
  <c r="AB23" i="7"/>
  <c r="AB25" i="7" s="1"/>
  <c r="AA23" i="7"/>
  <c r="AA25" i="7" s="1"/>
  <c r="Z23" i="7"/>
  <c r="Z25" i="7" s="1"/>
  <c r="Y23" i="7"/>
  <c r="Y25" i="7" s="1"/>
  <c r="X23" i="7"/>
  <c r="X25" i="7" s="1"/>
  <c r="W23" i="7"/>
  <c r="W25" i="7" s="1"/>
  <c r="V23" i="7"/>
  <c r="V25" i="7" s="1"/>
  <c r="U23" i="7"/>
  <c r="U25" i="7" s="1"/>
  <c r="T23" i="7"/>
  <c r="T25" i="7" s="1"/>
  <c r="S23" i="7"/>
  <c r="S25" i="7" s="1"/>
  <c r="R23" i="7"/>
  <c r="R25" i="7" s="1"/>
  <c r="Q23" i="7"/>
  <c r="Q25" i="7" s="1"/>
  <c r="P23" i="7"/>
  <c r="P25" i="7" s="1"/>
  <c r="O23" i="7"/>
  <c r="O25" i="7" s="1"/>
  <c r="N23" i="7"/>
  <c r="N25" i="7" s="1"/>
  <c r="M23" i="7"/>
  <c r="M25" i="7" s="1"/>
  <c r="L23" i="7"/>
  <c r="L25" i="7" s="1"/>
  <c r="K23" i="7"/>
  <c r="J23" i="7"/>
  <c r="I23" i="7"/>
  <c r="I25" i="7" s="1"/>
  <c r="H23" i="7"/>
  <c r="H25" i="7" s="1"/>
  <c r="G23" i="7"/>
  <c r="G25" i="7" s="1"/>
  <c r="F23" i="7"/>
  <c r="F25" i="7" s="1"/>
  <c r="E23" i="7"/>
  <c r="E25" i="7" s="1"/>
  <c r="D23" i="7"/>
  <c r="D25" i="7" s="1"/>
  <c r="C23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23" i="7"/>
  <c r="B21" i="7"/>
  <c r="B15" i="7"/>
  <c r="AI28" i="8"/>
  <c r="AI27" i="8"/>
  <c r="AI26" i="8"/>
  <c r="AI23" i="8"/>
  <c r="AI22" i="8"/>
  <c r="AI20" i="8"/>
  <c r="AI19" i="8"/>
  <c r="AI17" i="8"/>
  <c r="AI16" i="8"/>
  <c r="AI15" i="8"/>
  <c r="AI13" i="8"/>
  <c r="AI12" i="8"/>
  <c r="AI10" i="8"/>
  <c r="AI8" i="8"/>
  <c r="AI7" i="8"/>
  <c r="AI6" i="8"/>
  <c r="AI5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V25" i="8" s="1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I25" i="8" s="1"/>
  <c r="H21" i="8"/>
  <c r="G21" i="8"/>
  <c r="F21" i="8"/>
  <c r="E21" i="8"/>
  <c r="D21" i="8"/>
  <c r="D25" i="8" s="1"/>
  <c r="C21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24" i="8"/>
  <c r="B21" i="8"/>
  <c r="B9" i="8"/>
  <c r="AI82" i="9"/>
  <c r="AH82" i="9"/>
  <c r="AG82" i="9"/>
  <c r="AF82" i="9"/>
  <c r="AE82" i="9"/>
  <c r="AD82" i="9"/>
  <c r="AC82" i="9"/>
  <c r="AB82" i="9"/>
  <c r="AA82" i="9"/>
  <c r="Z82" i="9"/>
  <c r="Y82" i="9"/>
  <c r="X82" i="9"/>
  <c r="W82" i="9"/>
  <c r="V82" i="9"/>
  <c r="T82" i="9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AI81" i="9"/>
  <c r="AH81" i="9"/>
  <c r="AG81" i="9"/>
  <c r="AF81" i="9"/>
  <c r="AE81" i="9"/>
  <c r="AD81" i="9"/>
  <c r="AC81" i="9"/>
  <c r="AB81" i="9"/>
  <c r="AA81" i="9"/>
  <c r="Z81" i="9"/>
  <c r="Y81" i="9"/>
  <c r="X81" i="9"/>
  <c r="W81" i="9"/>
  <c r="V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AI78" i="9"/>
  <c r="AH78" i="9"/>
  <c r="AG78" i="9"/>
  <c r="AF78" i="9"/>
  <c r="AE78" i="9"/>
  <c r="AD78" i="9"/>
  <c r="AC78" i="9"/>
  <c r="AB78" i="9"/>
  <c r="AA78" i="9"/>
  <c r="Z78" i="9"/>
  <c r="Y78" i="9"/>
  <c r="X78" i="9"/>
  <c r="W78" i="9"/>
  <c r="V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C78" i="9"/>
  <c r="B82" i="9"/>
  <c r="B81" i="9"/>
  <c r="B78" i="9"/>
  <c r="AI100" i="10"/>
  <c r="AH100" i="10"/>
  <c r="AG100" i="10"/>
  <c r="AF100" i="10"/>
  <c r="AE100" i="10"/>
  <c r="AD100" i="10"/>
  <c r="AC100" i="10"/>
  <c r="AB100" i="10"/>
  <c r="AA100" i="10"/>
  <c r="Z100" i="10"/>
  <c r="Y100" i="10"/>
  <c r="X100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AI94" i="10"/>
  <c r="AH94" i="10"/>
  <c r="AG94" i="10"/>
  <c r="AF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B100" i="10"/>
  <c r="B94" i="10"/>
  <c r="AI73" i="11"/>
  <c r="AH73" i="11"/>
  <c r="AG73" i="11"/>
  <c r="AF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AI70" i="11"/>
  <c r="AH70" i="11"/>
  <c r="AG70" i="11"/>
  <c r="AF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B73" i="11"/>
  <c r="B70" i="11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CU14" i="3"/>
  <c r="CR14" i="3"/>
  <c r="CO14" i="3"/>
  <c r="CL14" i="3"/>
  <c r="CI14" i="3"/>
  <c r="CF14" i="3"/>
  <c r="CC14" i="3"/>
  <c r="BW14" i="3"/>
  <c r="BT14" i="3"/>
  <c r="BQ14" i="3"/>
  <c r="BN14" i="3"/>
  <c r="BE14" i="3"/>
  <c r="BB14" i="3"/>
  <c r="AY14" i="3"/>
  <c r="AV14" i="3"/>
  <c r="AS14" i="3"/>
  <c r="AP14" i="3"/>
  <c r="AM14" i="3"/>
  <c r="AG14" i="3"/>
  <c r="AD14" i="3"/>
  <c r="AA14" i="3"/>
  <c r="X14" i="3"/>
  <c r="R14" i="3"/>
  <c r="O14" i="3"/>
  <c r="L14" i="3"/>
  <c r="I14" i="3"/>
  <c r="F14" i="3"/>
  <c r="C14" i="3"/>
  <c r="CU13" i="3"/>
  <c r="CR13" i="3"/>
  <c r="CO13" i="3"/>
  <c r="CL13" i="3"/>
  <c r="CI13" i="3"/>
  <c r="CF13" i="3"/>
  <c r="CC13" i="3"/>
  <c r="BW13" i="3"/>
  <c r="BT13" i="3"/>
  <c r="BQ13" i="3"/>
  <c r="BN13" i="3"/>
  <c r="BE13" i="3"/>
  <c r="BB13" i="3"/>
  <c r="AY13" i="3"/>
  <c r="AV13" i="3"/>
  <c r="AS13" i="3"/>
  <c r="AP13" i="3"/>
  <c r="AM13" i="3"/>
  <c r="AG13" i="3"/>
  <c r="AD13" i="3"/>
  <c r="AA13" i="3"/>
  <c r="X13" i="3"/>
  <c r="R13" i="3"/>
  <c r="O13" i="3"/>
  <c r="L13" i="3"/>
  <c r="I13" i="3"/>
  <c r="F13" i="3"/>
  <c r="C13" i="3"/>
  <c r="CU12" i="3"/>
  <c r="CR12" i="3"/>
  <c r="CO12" i="3"/>
  <c r="CL12" i="3"/>
  <c r="CI12" i="3"/>
  <c r="CF12" i="3"/>
  <c r="CC12" i="3"/>
  <c r="BW12" i="3"/>
  <c r="BT12" i="3"/>
  <c r="BQ12" i="3"/>
  <c r="BN12" i="3"/>
  <c r="BE12" i="3"/>
  <c r="BB12" i="3"/>
  <c r="AY12" i="3"/>
  <c r="AV12" i="3"/>
  <c r="AS12" i="3"/>
  <c r="AP12" i="3"/>
  <c r="AM12" i="3"/>
  <c r="AG12" i="3"/>
  <c r="AD12" i="3"/>
  <c r="AA12" i="3"/>
  <c r="X12" i="3"/>
  <c r="R12" i="3"/>
  <c r="O12" i="3"/>
  <c r="L12" i="3"/>
  <c r="I12" i="3"/>
  <c r="F12" i="3"/>
  <c r="C12" i="3"/>
  <c r="CU11" i="3"/>
  <c r="CR11" i="3"/>
  <c r="CO11" i="3"/>
  <c r="CL11" i="3"/>
  <c r="CI11" i="3"/>
  <c r="CF11" i="3"/>
  <c r="CC11" i="3"/>
  <c r="BW11" i="3"/>
  <c r="BT11" i="3"/>
  <c r="BQ11" i="3"/>
  <c r="BN11" i="3"/>
  <c r="BK11" i="3"/>
  <c r="BH11" i="3"/>
  <c r="BE11" i="3"/>
  <c r="BB11" i="3"/>
  <c r="AY11" i="3"/>
  <c r="AV11" i="3"/>
  <c r="AS11" i="3"/>
  <c r="AP11" i="3"/>
  <c r="AM11" i="3"/>
  <c r="AG11" i="3"/>
  <c r="AD11" i="3"/>
  <c r="AA11" i="3"/>
  <c r="X11" i="3"/>
  <c r="R11" i="3"/>
  <c r="O11" i="3"/>
  <c r="L11" i="3"/>
  <c r="I11" i="3"/>
  <c r="F11" i="3"/>
  <c r="C11" i="3"/>
  <c r="CU10" i="3"/>
  <c r="CR10" i="3"/>
  <c r="CO10" i="3"/>
  <c r="CL10" i="3"/>
  <c r="CI10" i="3"/>
  <c r="CF10" i="3"/>
  <c r="CC10" i="3"/>
  <c r="BW10" i="3"/>
  <c r="BT10" i="3"/>
  <c r="BQ10" i="3"/>
  <c r="BN10" i="3"/>
  <c r="BE10" i="3"/>
  <c r="BB10" i="3"/>
  <c r="AY10" i="3"/>
  <c r="AV10" i="3"/>
  <c r="AS10" i="3"/>
  <c r="AP10" i="3"/>
  <c r="AM10" i="3"/>
  <c r="AG10" i="3"/>
  <c r="AD10" i="3"/>
  <c r="AA10" i="3"/>
  <c r="X10" i="3"/>
  <c r="R10" i="3"/>
  <c r="O10" i="3"/>
  <c r="L10" i="3"/>
  <c r="I10" i="3"/>
  <c r="F10" i="3"/>
  <c r="C10" i="3"/>
  <c r="CU9" i="3"/>
  <c r="CR9" i="3"/>
  <c r="CO9" i="3"/>
  <c r="CL9" i="3"/>
  <c r="CI9" i="3"/>
  <c r="CF9" i="3"/>
  <c r="CC9" i="3"/>
  <c r="BW9" i="3"/>
  <c r="BT9" i="3"/>
  <c r="BQ9" i="3"/>
  <c r="BN9" i="3"/>
  <c r="BK9" i="3"/>
  <c r="BH9" i="3"/>
  <c r="BE9" i="3"/>
  <c r="BB9" i="3"/>
  <c r="AY9" i="3"/>
  <c r="AV9" i="3"/>
  <c r="AS9" i="3"/>
  <c r="AP9" i="3"/>
  <c r="AM9" i="3"/>
  <c r="AG9" i="3"/>
  <c r="AD9" i="3"/>
  <c r="AA9" i="3"/>
  <c r="X9" i="3"/>
  <c r="R9" i="3"/>
  <c r="O9" i="3"/>
  <c r="L9" i="3"/>
  <c r="I9" i="3"/>
  <c r="F9" i="3"/>
  <c r="C9" i="3"/>
  <c r="CU8" i="3"/>
  <c r="CR8" i="3"/>
  <c r="CO8" i="3"/>
  <c r="CL8" i="3"/>
  <c r="CI8" i="3"/>
  <c r="CF8" i="3"/>
  <c r="CC8" i="3"/>
  <c r="BW8" i="3"/>
  <c r="BT8" i="3"/>
  <c r="BQ8" i="3"/>
  <c r="BN8" i="3"/>
  <c r="BE8" i="3"/>
  <c r="BB8" i="3"/>
  <c r="AY8" i="3"/>
  <c r="AV8" i="3"/>
  <c r="AS8" i="3"/>
  <c r="AP8" i="3"/>
  <c r="AM8" i="3"/>
  <c r="AG8" i="3"/>
  <c r="AD8" i="3"/>
  <c r="AA8" i="3"/>
  <c r="X8" i="3"/>
  <c r="R8" i="3"/>
  <c r="O8" i="3"/>
  <c r="L8" i="3"/>
  <c r="I8" i="3"/>
  <c r="F8" i="3"/>
  <c r="C8" i="3"/>
  <c r="CU7" i="3"/>
  <c r="CR7" i="3"/>
  <c r="CO7" i="3"/>
  <c r="CL7" i="3"/>
  <c r="CI7" i="3"/>
  <c r="CF7" i="3"/>
  <c r="CC7" i="3"/>
  <c r="BW7" i="3"/>
  <c r="BT7" i="3"/>
  <c r="BQ7" i="3"/>
  <c r="BN7" i="3"/>
  <c r="BE7" i="3"/>
  <c r="BB7" i="3"/>
  <c r="AY7" i="3"/>
  <c r="AV7" i="3"/>
  <c r="AS7" i="3"/>
  <c r="AP7" i="3"/>
  <c r="AM7" i="3"/>
  <c r="AG7" i="3"/>
  <c r="AD7" i="3"/>
  <c r="AA7" i="3"/>
  <c r="X7" i="3"/>
  <c r="R7" i="3"/>
  <c r="O7" i="3"/>
  <c r="L7" i="3"/>
  <c r="I7" i="3"/>
  <c r="F7" i="3"/>
  <c r="C7" i="3"/>
  <c r="CU6" i="3"/>
  <c r="CR6" i="3"/>
  <c r="CO6" i="3"/>
  <c r="CL6" i="3"/>
  <c r="CI6" i="3"/>
  <c r="CF6" i="3"/>
  <c r="CC6" i="3"/>
  <c r="BW6" i="3"/>
  <c r="BT6" i="3"/>
  <c r="BQ6" i="3"/>
  <c r="BN6" i="3"/>
  <c r="BE6" i="3"/>
  <c r="BB6" i="3"/>
  <c r="AY6" i="3"/>
  <c r="AV6" i="3"/>
  <c r="AS6" i="3"/>
  <c r="AP6" i="3"/>
  <c r="AM6" i="3"/>
  <c r="AG6" i="3"/>
  <c r="AD6" i="3"/>
  <c r="AA6" i="3"/>
  <c r="X6" i="3"/>
  <c r="R6" i="3"/>
  <c r="O6" i="3"/>
  <c r="L6" i="3"/>
  <c r="I6" i="3"/>
  <c r="F6" i="3"/>
  <c r="C6" i="3"/>
  <c r="CU5" i="3"/>
  <c r="CR5" i="3"/>
  <c r="CO5" i="3"/>
  <c r="CL5" i="3"/>
  <c r="CI5" i="3"/>
  <c r="CF5" i="3"/>
  <c r="CC5" i="3"/>
  <c r="BW5" i="3"/>
  <c r="BT5" i="3"/>
  <c r="BQ5" i="3"/>
  <c r="BN5" i="3"/>
  <c r="BE5" i="3"/>
  <c r="BB5" i="3"/>
  <c r="AY5" i="3"/>
  <c r="AV5" i="3"/>
  <c r="AS5" i="3"/>
  <c r="AP5" i="3"/>
  <c r="AM5" i="3"/>
  <c r="AG5" i="3"/>
  <c r="AD5" i="3"/>
  <c r="AA5" i="3"/>
  <c r="X5" i="3"/>
  <c r="U5" i="3"/>
  <c r="R5" i="3"/>
  <c r="O5" i="3"/>
  <c r="L5" i="3"/>
  <c r="I5" i="3"/>
  <c r="F5" i="3"/>
  <c r="C5" i="3"/>
  <c r="AH25" i="8" l="1"/>
  <c r="BP15" i="12"/>
  <c r="BQ15" i="12"/>
  <c r="BP73" i="11"/>
  <c r="BQ70" i="11"/>
  <c r="BP70" i="11"/>
  <c r="BQ73" i="11"/>
  <c r="BQ100" i="10"/>
  <c r="BP100" i="10"/>
  <c r="BQ94" i="10"/>
  <c r="BP94" i="10"/>
  <c r="BP78" i="9"/>
  <c r="BP81" i="9"/>
  <c r="BP82" i="9"/>
  <c r="BQ78" i="9"/>
  <c r="BQ81" i="9"/>
  <c r="BQ82" i="9"/>
  <c r="BP21" i="7"/>
  <c r="B25" i="7"/>
  <c r="BP23" i="7"/>
  <c r="BQ21" i="7"/>
  <c r="C25" i="7"/>
  <c r="BQ23" i="7"/>
  <c r="BP15" i="7"/>
  <c r="BQ15" i="7"/>
  <c r="B25" i="8"/>
  <c r="AG25" i="8"/>
  <c r="K25" i="7"/>
  <c r="J25" i="7"/>
  <c r="Q25" i="8"/>
  <c r="T25" i="8"/>
  <c r="G25" i="8"/>
  <c r="O25" i="8"/>
  <c r="C25" i="8"/>
  <c r="K25" i="8"/>
  <c r="S25" i="8"/>
  <c r="X25" i="8"/>
  <c r="M25" i="8"/>
  <c r="AE25" i="8"/>
  <c r="AA25" i="8"/>
  <c r="Z25" i="8"/>
  <c r="W25" i="8"/>
  <c r="U25" i="8"/>
  <c r="H25" i="8"/>
  <c r="E25" i="8"/>
  <c r="AF25" i="8"/>
  <c r="AD25" i="8"/>
  <c r="AC25" i="8"/>
  <c r="AB25" i="8"/>
  <c r="Y25" i="8"/>
  <c r="R25" i="8"/>
  <c r="P25" i="8"/>
  <c r="N25" i="8"/>
  <c r="L25" i="8"/>
  <c r="J25" i="8"/>
  <c r="AI14" i="8"/>
  <c r="AI24" i="8"/>
  <c r="AI9" i="8"/>
  <c r="F25" i="8"/>
  <c r="AI21" i="8"/>
  <c r="BP25" i="7" l="1"/>
  <c r="BQ25" i="7"/>
  <c r="AI25" i="8"/>
  <c r="B15" i="6"/>
  <c r="B12" i="6"/>
  <c r="AI15" i="18"/>
  <c r="AI13" i="18"/>
  <c r="AI12" i="18"/>
  <c r="AI11" i="18"/>
  <c r="AI10" i="18"/>
  <c r="AI9" i="18"/>
  <c r="AI8" i="18"/>
  <c r="AI7" i="18"/>
  <c r="AI6" i="18"/>
  <c r="AI5" i="18"/>
  <c r="AI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I16" i="17"/>
  <c r="AI14" i="17"/>
  <c r="AI13" i="17"/>
  <c r="AI12" i="17"/>
  <c r="AI11" i="17"/>
  <c r="AI10" i="17"/>
  <c r="AI9" i="17"/>
  <c r="AI8" i="17"/>
  <c r="AI7" i="17"/>
  <c r="AI6" i="17"/>
  <c r="AI5" i="17"/>
  <c r="AI4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I31" i="15"/>
  <c r="AI30" i="15"/>
  <c r="AI27" i="15"/>
  <c r="AI26" i="15"/>
  <c r="AI25" i="15"/>
  <c r="AI24" i="15"/>
  <c r="AI23" i="15"/>
  <c r="AI22" i="15"/>
  <c r="AI21" i="15"/>
  <c r="AI18" i="15"/>
  <c r="AI17" i="15"/>
  <c r="AI16" i="15"/>
  <c r="AI15" i="15"/>
  <c r="AI14" i="15"/>
  <c r="AI11" i="15"/>
  <c r="AI10" i="15"/>
  <c r="AI9" i="15"/>
  <c r="AI8" i="15"/>
  <c r="AI7" i="15"/>
  <c r="AI6" i="15"/>
  <c r="AI5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C32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32" i="15"/>
  <c r="B28" i="15"/>
  <c r="B19" i="15"/>
  <c r="B12" i="15"/>
  <c r="AI11" i="13"/>
  <c r="AI10" i="13"/>
  <c r="AI8" i="13"/>
  <c r="AI7" i="13"/>
  <c r="AI6" i="13"/>
  <c r="AI5" i="13"/>
  <c r="AI4" i="13"/>
  <c r="AH9" i="13"/>
  <c r="AG9" i="13"/>
  <c r="AF9" i="13"/>
  <c r="AE9" i="13"/>
  <c r="AD9" i="13"/>
  <c r="AC9" i="13"/>
  <c r="AB9" i="13"/>
  <c r="AA9" i="13"/>
  <c r="Z9" i="13"/>
  <c r="Y9" i="13"/>
  <c r="X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I32" i="15" l="1"/>
  <c r="AI19" i="15"/>
  <c r="AI28" i="15"/>
  <c r="AI12" i="15"/>
  <c r="AI14" i="18"/>
  <c r="AI15" i="17"/>
  <c r="AI9" i="13"/>
  <c r="BN7" i="1"/>
  <c r="BL7" i="1"/>
  <c r="BH7" i="1"/>
  <c r="BF7" i="1"/>
  <c r="BD7" i="1"/>
  <c r="BB7" i="1"/>
  <c r="AZ7" i="1"/>
  <c r="AX7" i="1"/>
  <c r="AV7" i="1"/>
  <c r="AT7" i="1"/>
  <c r="AR7" i="1"/>
  <c r="AN7" i="1"/>
  <c r="AL7" i="1"/>
  <c r="AJ7" i="1"/>
  <c r="AH7" i="1"/>
  <c r="AF7" i="1"/>
  <c r="AD7" i="1"/>
  <c r="AB7" i="1"/>
  <c r="Z7" i="1"/>
  <c r="X7" i="1"/>
  <c r="T7" i="1"/>
  <c r="R7" i="1"/>
  <c r="P7" i="1"/>
  <c r="N7" i="1"/>
  <c r="L7" i="1"/>
  <c r="B7" i="1"/>
  <c r="BN15" i="1" l="1"/>
  <c r="BL15" i="1"/>
  <c r="BH15" i="1"/>
  <c r="BF15" i="1"/>
  <c r="BD15" i="1"/>
  <c r="BB15" i="1"/>
  <c r="AZ15" i="1"/>
  <c r="AX15" i="1"/>
  <c r="AV15" i="1"/>
  <c r="AT15" i="1"/>
  <c r="AR15" i="1"/>
  <c r="AN15" i="1"/>
  <c r="AL15" i="1"/>
  <c r="AJ15" i="1"/>
  <c r="AH15" i="1"/>
  <c r="AF15" i="1"/>
  <c r="AD15" i="1"/>
  <c r="AB15" i="1"/>
  <c r="Z15" i="1"/>
  <c r="X15" i="1"/>
  <c r="V15" i="1"/>
  <c r="T15" i="1"/>
  <c r="R15" i="1"/>
  <c r="P15" i="1"/>
  <c r="N15" i="1"/>
  <c r="L15" i="1"/>
  <c r="B15" i="1"/>
  <c r="BN13" i="1"/>
  <c r="BL13" i="1"/>
  <c r="BH13" i="1"/>
  <c r="BF13" i="1"/>
  <c r="BD13" i="1"/>
  <c r="BB13" i="1"/>
  <c r="AZ13" i="1"/>
  <c r="AX13" i="1"/>
  <c r="AV13" i="1"/>
  <c r="AT13" i="1"/>
  <c r="AR13" i="1"/>
  <c r="AP13" i="1"/>
  <c r="AN13" i="1"/>
  <c r="AL13" i="1"/>
  <c r="AJ13" i="1"/>
  <c r="AH13" i="1"/>
  <c r="AF13" i="1"/>
  <c r="AD13" i="1"/>
  <c r="AB13" i="1"/>
  <c r="Z13" i="1"/>
  <c r="X13" i="1"/>
  <c r="V13" i="1"/>
  <c r="T13" i="1"/>
  <c r="R13" i="1"/>
  <c r="P13" i="1"/>
  <c r="N13" i="1"/>
  <c r="L13" i="1"/>
  <c r="B13" i="1"/>
  <c r="BP13" i="1" l="1"/>
  <c r="AJ12" i="3"/>
  <c r="AJ5" i="3"/>
  <c r="AJ10" i="3"/>
  <c r="AJ14" i="3"/>
  <c r="AJ6" i="3"/>
  <c r="AJ7" i="3"/>
  <c r="AJ8" i="3"/>
  <c r="AJ9" i="3"/>
  <c r="AJ13" i="3"/>
  <c r="AJ11" i="3"/>
  <c r="AQ7" i="1"/>
  <c r="BQ7" i="1" s="1"/>
  <c r="AQ15" i="1"/>
  <c r="BQ15" i="1" s="1"/>
  <c r="AP7" i="1"/>
  <c r="BP7" i="1" s="1"/>
  <c r="AP15" i="1"/>
  <c r="BP15" i="1" s="1"/>
  <c r="BK8" i="3"/>
  <c r="BK5" i="3"/>
  <c r="BK7" i="3"/>
  <c r="BK6" i="3"/>
  <c r="BK10" i="3"/>
  <c r="BK14" i="3"/>
  <c r="BK13" i="3"/>
  <c r="BK12" i="3"/>
  <c r="BH6" i="3" l="1"/>
  <c r="BH7" i="3"/>
  <c r="BH8" i="3"/>
  <c r="BH5" i="3"/>
  <c r="BH10" i="3"/>
  <c r="BH12" i="3"/>
  <c r="BH14" i="3"/>
  <c r="BH13" i="3"/>
  <c r="BZ15" i="6"/>
  <c r="BZ12" i="6"/>
</calcChain>
</file>

<file path=xl/sharedStrings.xml><?xml version="1.0" encoding="utf-8"?>
<sst xmlns="http://schemas.openxmlformats.org/spreadsheetml/2006/main" count="4955" uniqueCount="316">
  <si>
    <t>Particulars</t>
  </si>
  <si>
    <t>Acko</t>
  </si>
  <si>
    <t>AICL</t>
  </si>
  <si>
    <t>Bajaj Allianz</t>
  </si>
  <si>
    <t>Bharti Axa</t>
  </si>
  <si>
    <t>Edelweiss</t>
  </si>
  <si>
    <t>ECGC</t>
  </si>
  <si>
    <t>Future Generali</t>
  </si>
  <si>
    <t>HDFC Ergo</t>
  </si>
  <si>
    <t>ICICI Lombard</t>
  </si>
  <si>
    <t>Iffco Tokio</t>
  </si>
  <si>
    <t>Liberty</t>
  </si>
  <si>
    <t>Magma HDI</t>
  </si>
  <si>
    <t>National</t>
  </si>
  <si>
    <t>Royal Sundaram</t>
  </si>
  <si>
    <t>SBI</t>
  </si>
  <si>
    <t>Shriram</t>
  </si>
  <si>
    <t>Star Health</t>
  </si>
  <si>
    <t>Tata AIG</t>
  </si>
  <si>
    <t>United India</t>
  </si>
  <si>
    <t>Universal Sompo</t>
  </si>
  <si>
    <t>Industry Total</t>
  </si>
  <si>
    <t>Premiums earned (Net)</t>
  </si>
  <si>
    <t>Profit/ Loss on sale/redemption of Investments</t>
  </si>
  <si>
    <t>Other Income</t>
  </si>
  <si>
    <t>Interest, Dividend &amp; Rent – Gross</t>
  </si>
  <si>
    <t>TOTAL (A)</t>
  </si>
  <si>
    <t>Claims Incurred (Net)</t>
  </si>
  <si>
    <t>Commission</t>
  </si>
  <si>
    <t>Operating Expenses related to Insurance Business</t>
  </si>
  <si>
    <t>TOTAL (B)</t>
  </si>
  <si>
    <t>Operating profit / (loss) (A-B)</t>
  </si>
  <si>
    <t>Others</t>
  </si>
  <si>
    <t>NL-1 Revenue Account</t>
  </si>
  <si>
    <t>in Rs. '000</t>
  </si>
  <si>
    <t>Capital Reserve</t>
  </si>
  <si>
    <t>Capital Redemption Reserve</t>
  </si>
  <si>
    <t>Share/Security Premium</t>
  </si>
  <si>
    <t>General Reserves</t>
  </si>
  <si>
    <t>Catastrophe Reserve</t>
  </si>
  <si>
    <t>Other Reserves</t>
  </si>
  <si>
    <t>Balance of Profit in Profit &amp; Loss Account</t>
  </si>
  <si>
    <t>TOTAL</t>
  </si>
  <si>
    <t>SECURITY-WISE CLASSIFICATION</t>
  </si>
  <si>
    <t>Secured</t>
  </si>
  <si>
    <t>(a) On mortgage of property</t>
  </si>
  <si>
    <t>(aa)  In India</t>
  </si>
  <si>
    <t>(bb) Outside India</t>
  </si>
  <si>
    <t>(b) On Shares, Bonds, Govt. Securities</t>
  </si>
  <si>
    <t>(c) Others</t>
  </si>
  <si>
    <t>Unsecured</t>
  </si>
  <si>
    <t>BORROWER-WISE CLASSIFICATION</t>
  </si>
  <si>
    <t>(a) Central and State Governments</t>
  </si>
  <si>
    <t>(b) Banks and Financial Institutions</t>
  </si>
  <si>
    <t>(c) Subsidiaries</t>
  </si>
  <si>
    <t>(d) Industrial Undertakings</t>
  </si>
  <si>
    <t xml:space="preserve">(e)  Others </t>
  </si>
  <si>
    <t>PERFORMANCE-WISE CLASSIFICATION</t>
  </si>
  <si>
    <t>(a) Loans classified as standard</t>
  </si>
  <si>
    <t>(b) Non-performing loans less provisions</t>
  </si>
  <si>
    <t>Provisions</t>
  </si>
  <si>
    <t>MATURITY-WISE CLASSIFICATION</t>
  </si>
  <si>
    <t>(a) Short Term</t>
  </si>
  <si>
    <t>(b) Long Term</t>
  </si>
  <si>
    <t>Goodwill</t>
  </si>
  <si>
    <t>Intangibles (Software)</t>
  </si>
  <si>
    <t>Land-Freehold</t>
  </si>
  <si>
    <t>Land-Leasehold</t>
  </si>
  <si>
    <t>Leasehold</t>
  </si>
  <si>
    <t xml:space="preserve">Buildings </t>
  </si>
  <si>
    <t>Furniture &amp; Fittings</t>
  </si>
  <si>
    <t>IT Equipments</t>
  </si>
  <si>
    <t>Motor Cars/Vehicles</t>
  </si>
  <si>
    <t>Office Equipments</t>
  </si>
  <si>
    <t>Electrical Equipments</t>
  </si>
  <si>
    <t>Other Assets</t>
  </si>
  <si>
    <t>Capital Work in progress</t>
  </si>
  <si>
    <t>Instangible Assets under development</t>
  </si>
  <si>
    <t>Grand Total</t>
  </si>
  <si>
    <t>Cash (including cheques, drafts and stamps)</t>
  </si>
  <si>
    <t>Bank Balances</t>
  </si>
  <si>
    <t>(a) Deposit Accounts</t>
  </si>
  <si>
    <t>           (aa) Short-term (due within 12 months)</t>
  </si>
  <si>
    <t>           (bb) Others</t>
  </si>
  <si>
    <t>(b) Current Accounts</t>
  </si>
  <si>
    <t>(c) Cheque in Hand</t>
  </si>
  <si>
    <t>(d) Others</t>
  </si>
  <si>
    <t>Money at Call and Short Notice</t>
  </si>
  <si>
    <t>(a) With Banks</t>
  </si>
  <si>
    <t>(b) With other Institutions</t>
  </si>
  <si>
    <t>Agents’ Balances</t>
  </si>
  <si>
    <t>Balances due to other insurance companies</t>
  </si>
  <si>
    <t>Deposits held on re-insurance ceded</t>
  </si>
  <si>
    <t>Premiums received in advance</t>
  </si>
  <si>
    <t>Unallocated Premium</t>
  </si>
  <si>
    <t>Sundry creditors</t>
  </si>
  <si>
    <t>Due to subsidiaries/ holding company</t>
  </si>
  <si>
    <t xml:space="preserve">Claims Outstanding </t>
  </si>
  <si>
    <t>Due to Directors/Officers</t>
  </si>
  <si>
    <t>Unclaimed amount of Policyholders</t>
  </si>
  <si>
    <t>in Rs. Lakhs</t>
  </si>
  <si>
    <t>Available Assets in Policyholders’ Funds</t>
  </si>
  <si>
    <t>Liabilities (reserves as mentioned in Form HG)</t>
  </si>
  <si>
    <t>Other Liabilities (other liabilities in respect of  Policyholders’ Fund as mentioned in Balance Sheet)</t>
  </si>
  <si>
    <t>Current Liabilities as per Balance Sheet</t>
  </si>
  <si>
    <t>Provisions as per Balance Sheet</t>
  </si>
  <si>
    <t xml:space="preserve">Excess in Policyholders’ Funds </t>
  </si>
  <si>
    <t>Available Assets in Shareholders’ Funds</t>
  </si>
  <si>
    <t>Other Liabilities (other liabilities in respect of Shareholders’ Fund as mentioned in Balance Sheet)</t>
  </si>
  <si>
    <t>Excess in Shareholders’ Funds</t>
  </si>
  <si>
    <t>Total Available Solvency Margin [ASM]</t>
  </si>
  <si>
    <t>Total Required Solvency Margin  [RSM]</t>
  </si>
  <si>
    <t>Solvency Ratio (Total ASM/Total RSM)</t>
  </si>
  <si>
    <t xml:space="preserve">NL-40 Business Acquisition Through Different Channels </t>
  </si>
  <si>
    <t>No. of Policies- in number only, Premium- in Rs. Lakhs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</si>
  <si>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</si>
  <si>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</si>
  <si>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</si>
  <si>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</si>
  <si>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</si>
  <si>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</si>
  <si>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Total (A)</t>
  </si>
  <si>
    <t>Referral (B)</t>
  </si>
  <si>
    <t>Grand Total (A+B)</t>
  </si>
  <si>
    <t>No.of Policies</t>
  </si>
  <si>
    <t>Premium</t>
  </si>
  <si>
    <t>NL-30 Analytical Ratios</t>
  </si>
  <si>
    <t>Gross Premium Growth Rate</t>
  </si>
  <si>
    <t>Gross Premium to shareholders' fund ratio</t>
  </si>
  <si>
    <t>Gross Direct Premium to Net Worth Ratio</t>
  </si>
  <si>
    <t>Growth Rate of Net Worth</t>
  </si>
  <si>
    <t>Growth rate of shareholders' fund</t>
  </si>
  <si>
    <t>Net Retention Ratio</t>
  </si>
  <si>
    <t>Net Commission Ratio</t>
  </si>
  <si>
    <t>Expense of Management to Gross Direct Premium Ratio</t>
  </si>
  <si>
    <t>Expense of Management to Net Written Premium Ratio</t>
  </si>
  <si>
    <t>Net Incurred claims to Net Earned Premium</t>
  </si>
  <si>
    <t>Combined Ratio</t>
  </si>
  <si>
    <t>Technical Reserves to net premium ratio</t>
  </si>
  <si>
    <t>Underwriting balance ratio</t>
  </si>
  <si>
    <t>Operating Profit Ratio</t>
  </si>
  <si>
    <t>Liquid Assets to Liabilities ratio</t>
  </si>
  <si>
    <t>Net earning ratio</t>
  </si>
  <si>
    <t>Return on net worth ratio</t>
  </si>
  <si>
    <t>Available Solvency Margin Ratio to Required Solvency Margin Ratio</t>
  </si>
  <si>
    <t>NPA Ratio</t>
  </si>
  <si>
    <t>Gross NPA Ratio</t>
  </si>
  <si>
    <t>Net NPA Ratio</t>
  </si>
  <si>
    <t>Motor TP</t>
  </si>
  <si>
    <t>Non TP</t>
  </si>
  <si>
    <t>Total</t>
  </si>
  <si>
    <t>Claims o/s at the beginning of the period</t>
  </si>
  <si>
    <t>Claims reported during the period</t>
  </si>
  <si>
    <t>Claims settled during the period</t>
  </si>
  <si>
    <t>Claims repudiated during the period</t>
  </si>
  <si>
    <t>Claims closed during the period</t>
  </si>
  <si>
    <t>Claims o/s at end of the period</t>
  </si>
  <si>
    <t>Less than 3 months</t>
  </si>
  <si>
    <t>3 months to 6 months</t>
  </si>
  <si>
    <t>6 months to 1 year</t>
  </si>
  <si>
    <t>1 year and above</t>
  </si>
  <si>
    <t>No. of Claims only</t>
  </si>
  <si>
    <t>No. of Reinsurers</t>
  </si>
  <si>
    <t>Premium ceded to reinsurers</t>
  </si>
  <si>
    <t>Premium ceded to reinsurers/ Total reinsurance premium ceded (%)</t>
  </si>
  <si>
    <t>Proportional</t>
  </si>
  <si>
    <t>Non-Proportional</t>
  </si>
  <si>
    <t>Facultative</t>
  </si>
  <si>
    <t>Reinsurance Placement</t>
  </si>
  <si>
    <t>No. of Reinsurers with rating of AAA and above</t>
  </si>
  <si>
    <t>No. of Reinsurers with rating AA but less than AAA</t>
  </si>
  <si>
    <t>No. of Reinsurers with rating A but less than AA</t>
  </si>
  <si>
    <t xml:space="preserve">No. of Reinsurers with rating BBB but less than A </t>
  </si>
  <si>
    <t>No. of Reinsurers with rating less than BBB</t>
  </si>
  <si>
    <t>No. of Domestic Reinsurance Placed with Indian Insurance Companies</t>
  </si>
  <si>
    <t>Domestic Capacity</t>
  </si>
  <si>
    <t>No. of Indian reinsurer other than GIC</t>
  </si>
  <si>
    <t>Government</t>
  </si>
  <si>
    <t>Shareholders</t>
  </si>
  <si>
    <t>Policyholders</t>
  </si>
  <si>
    <t>LONG TERM INVESTMENTS</t>
  </si>
  <si>
    <t>Government securities and Government guaranteed bonds including Treasury Bills</t>
  </si>
  <si>
    <t>Other Approved Securities</t>
  </si>
  <si>
    <t>Other Investments</t>
  </si>
  <si>
    <t>(a) Shares</t>
  </si>
  <si>
    <t xml:space="preserve">      (aa)  Equity</t>
  </si>
  <si>
    <t xml:space="preserve">      (bb) Preference</t>
  </si>
  <si>
    <t>(b) Mutual Funds</t>
  </si>
  <si>
    <t>(c) Debentures/ Bonds</t>
  </si>
  <si>
    <t>(d) Other securities</t>
  </si>
  <si>
    <t>(e) Non convertible debenture/bonds</t>
  </si>
  <si>
    <t>(f) Subsidiaries</t>
  </si>
  <si>
    <t>(g) Investment properties - Real Estate</t>
  </si>
  <si>
    <t>Investments in Infrastructure and Social Sector</t>
  </si>
  <si>
    <t>Other than Approved Investments</t>
  </si>
  <si>
    <t>TOTAL LONG TERM INVESTMENTS</t>
  </si>
  <si>
    <t>SHORT TERM INVESTMENTS</t>
  </si>
  <si>
    <t>TOTAL SHORT TERM INVESTMENTS</t>
  </si>
  <si>
    <t>(d) Non convertible debenture/bonds</t>
  </si>
  <si>
    <t>(e) Other securities</t>
  </si>
  <si>
    <t>(f) Fixed Deposit with Bank</t>
  </si>
  <si>
    <t>(g) Subsidiaries</t>
  </si>
  <si>
    <t>NL-7 Operating Expenses</t>
  </si>
  <si>
    <t>Employees remuneration and welfare benefits</t>
  </si>
  <si>
    <t>Travel conveyance and vehicle running expenses</t>
  </si>
  <si>
    <t>Training expenses</t>
  </si>
  <si>
    <t>Rent, rates and taxes</t>
  </si>
  <si>
    <t>Repairs and maintenance</t>
  </si>
  <si>
    <t>Printing and stationery</t>
  </si>
  <si>
    <t>Communication</t>
  </si>
  <si>
    <t>Legal and Professional Charges</t>
  </si>
  <si>
    <t>Advertisement and publicity</t>
  </si>
  <si>
    <t>Interest and bank charges</t>
  </si>
  <si>
    <t>Depreciation</t>
  </si>
  <si>
    <t>Service Tax Expenses / GST Expenses</t>
  </si>
  <si>
    <t>NL-6 Commission</t>
  </si>
  <si>
    <t>FIRE</t>
  </si>
  <si>
    <t>MARINE</t>
  </si>
  <si>
    <t>MOTOR</t>
  </si>
  <si>
    <t>ENGINEERING</t>
  </si>
  <si>
    <t>HEALTH</t>
  </si>
  <si>
    <t>PERSONAL ACCIDENT</t>
  </si>
  <si>
    <t>LIABILITY</t>
  </si>
  <si>
    <t>AVIATION</t>
  </si>
  <si>
    <t>OTHER MISCELLANEOUS</t>
  </si>
  <si>
    <t>Direct</t>
  </si>
  <si>
    <t>Net Commission</t>
  </si>
  <si>
    <t xml:space="preserve">NL-5 Claims </t>
  </si>
  <si>
    <t>Direct claims</t>
  </si>
  <si>
    <t>Net Premium</t>
  </si>
  <si>
    <t>Net Earned Premium</t>
  </si>
  <si>
    <t xml:space="preserve">NL-4 Premium </t>
  </si>
  <si>
    <t>SOURCES OF FUNDS</t>
  </si>
  <si>
    <t>Share Capital</t>
  </si>
  <si>
    <t>Reserves and Surplus</t>
  </si>
  <si>
    <t>Fair Value Change Account</t>
  </si>
  <si>
    <t>Borrowings</t>
  </si>
  <si>
    <t>APPLICATION OF FUNDS</t>
  </si>
  <si>
    <t>Investments- Shareholders Funds</t>
  </si>
  <si>
    <t>Investments- Policyholders Funds</t>
  </si>
  <si>
    <t>Total Investments</t>
  </si>
  <si>
    <t>Loans</t>
  </si>
  <si>
    <t>Fixed Assets</t>
  </si>
  <si>
    <t>Deferred Tax Assets</t>
  </si>
  <si>
    <t>Current Assets</t>
  </si>
  <si>
    <t>Cash and Bank Balances</t>
  </si>
  <si>
    <t>Advances and Other Assets</t>
  </si>
  <si>
    <t>Sub-Total (A)</t>
  </si>
  <si>
    <t>Current Liabilities</t>
  </si>
  <si>
    <t>Sub-Total (B)</t>
  </si>
  <si>
    <t>NET CURRENT ASSETS (C) = (A - B)</t>
  </si>
  <si>
    <t>Miscellaneous Expenditure (to the extent not written off or adjusted)</t>
  </si>
  <si>
    <t>Debit Balance in Profit and Loss Account</t>
  </si>
  <si>
    <t>OPERATING PROFIT/(LOSS)</t>
  </si>
  <si>
    <t>(a) Fire Insurance</t>
  </si>
  <si>
    <t>(b) Marine Insurance</t>
  </si>
  <si>
    <t>(c) Miscellaneous Insurance</t>
  </si>
  <si>
    <t>INCOME FROM INVESTMENTS</t>
  </si>
  <si>
    <t>(a) Interest, Dividend &amp; Rent – Gross</t>
  </si>
  <si>
    <t>(b) Profit on sale of investments</t>
  </si>
  <si>
    <t>Less: Loss on sale of investments</t>
  </si>
  <si>
    <t>(c) Accretion/(Amortisation) of Debt Securities</t>
  </si>
  <si>
    <t>(d) Amortization of Discount / (Premium)</t>
  </si>
  <si>
    <t>OTHER INCOME</t>
  </si>
  <si>
    <t>PROVISIONS (Other than taxation)</t>
  </si>
  <si>
    <t>(a) For diminution in the value of investments</t>
  </si>
  <si>
    <t>(b) For doubtful debts</t>
  </si>
  <si>
    <t xml:space="preserve">OTHER EXPENSES </t>
  </si>
  <si>
    <t>PROFIT / (LOSS) BEFORE TAX (A-B)</t>
  </si>
  <si>
    <t>PROFIT / (LOSS) AFTER TAX</t>
  </si>
  <si>
    <t>Provision for Taxation</t>
  </si>
  <si>
    <t>Premium from direct business written</t>
  </si>
  <si>
    <r>
      <t xml:space="preserve">NL-23 Reinsurance Risk Concentration
</t>
    </r>
    <r>
      <rPr>
        <b/>
        <sz val="12"/>
        <color theme="4" tint="-0.499984740745262"/>
        <rFont val="Calibri"/>
        <family val="2"/>
        <scheme val="minor"/>
      </rPr>
      <t xml:space="preserve">Rs. In Lakhs </t>
    </r>
  </si>
  <si>
    <t>Total Claims Incurred</t>
  </si>
  <si>
    <t>Premium on reinsurance accepted</t>
  </si>
  <si>
    <t>Premium on reinsurance ceded</t>
  </si>
  <si>
    <t>Reinsurance accepted</t>
  </si>
  <si>
    <t>Reinsurance ceded</t>
  </si>
  <si>
    <t>Claims Outstanding at the beginning of the year</t>
  </si>
  <si>
    <t>Claims Outstanding at the end of the year</t>
  </si>
  <si>
    <t>For Q2 2019-20</t>
  </si>
  <si>
    <t>Upto 6 months 2019-20</t>
  </si>
  <si>
    <t xml:space="preserve">NL-2 Profit and Loss Account </t>
  </si>
  <si>
    <t>NL-25 Quarterly Claims Data (Q2)</t>
  </si>
  <si>
    <t>Gross Incurred Claims</t>
  </si>
  <si>
    <t>Aditya Birla Health</t>
  </si>
  <si>
    <t>Cholamandalam MS</t>
  </si>
  <si>
    <t>GoDigit</t>
  </si>
  <si>
    <t>HDFC Ergo Health</t>
  </si>
  <si>
    <t>Kotak Mahindra</t>
  </si>
  <si>
    <t>Manipal Cigna Health</t>
  </si>
  <si>
    <t>Navi</t>
  </si>
  <si>
    <t>Raheja QBE</t>
  </si>
  <si>
    <t>Religare Health</t>
  </si>
  <si>
    <t>The New India Assurance</t>
  </si>
  <si>
    <t>The Oriental</t>
  </si>
  <si>
    <t>For Q2 2020-21</t>
  </si>
  <si>
    <t>Upto 6 months 2020-21</t>
  </si>
  <si>
    <t>NL-3 Balance Sheet as at 30 September 2020</t>
  </si>
  <si>
    <t>Max Bupa Health</t>
  </si>
  <si>
    <t>NL-10 Reserves and Surplus as at 30 September 2020</t>
  </si>
  <si>
    <t>NL-12 Investments as at 30 September 2020</t>
  </si>
  <si>
    <t>NL-13 Loans as at 30 September 2020</t>
  </si>
  <si>
    <t>NL-14 Fixed Assets. Net Block as at 30 September 2020</t>
  </si>
  <si>
    <t>NL-15 Cash and Bank Balance as at 30 September 2020</t>
  </si>
  <si>
    <t>NL-17 Current Liabilities as at 30 September 2020</t>
  </si>
  <si>
    <t>NL-33 Solvency Margin KGII for the period ended 30 September 2020</t>
  </si>
  <si>
    <t>Reliance</t>
  </si>
  <si>
    <t>1.03 Times</t>
  </si>
  <si>
    <t>1.80 Times</t>
  </si>
  <si>
    <t>2.38 Times</t>
  </si>
  <si>
    <t>(0.08) Times</t>
  </si>
  <si>
    <t>0.55 Times</t>
  </si>
  <si>
    <t>1.37 Times</t>
  </si>
  <si>
    <t>(0.07) Times</t>
  </si>
  <si>
    <t>(h) Investment properties - Real Estate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</si>
</sst>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₹&quot;\ * #,##0.00_ ;_ &quot;₹&quot;\ * \-#,##0.00_ ;_ &quot;₹&quot;\ * &quot;-&quot;??_ ;_ @_ "/>
    <numFmt numFmtId="165" formatCode="_ * #,##0.00_ ;_ * \-#,##0.00_ ;_ * &quot;-&quot;??_ ;_ @_ "/>
    <numFmt numFmtId="166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name val="Calibri"/>
      <family val="2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0" borderId="0"/>
    <xf numFmtId="165" fontId="11" fillId="0" borderId="0" applyFill="0" applyBorder="0" applyAlignment="0" applyProtection="0"/>
    <xf numFmtId="0" fontId="13" fillId="0" borderId="0"/>
  </cellStyleXfs>
  <cellXfs count="134">
    <xf numFmtId="0" fontId="0" fillId="0" borderId="0" xfId="0"/>
    <xf numFmtId="1" fontId="1" fillId="0" borderId="1" xfId="0" applyNumberFormat="1" applyFont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1" fillId="0" borderId="0" xfId="0" applyFont="1"/>
    <xf numFmtId="1" fontId="4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" fontId="1" fillId="0" borderId="0" xfId="0" applyNumberFormat="1" applyFont="1"/>
    <xf numFmtId="1" fontId="4" fillId="0" borderId="0" xfId="0" applyNumberFormat="1" applyFont="1"/>
    <xf numFmtId="1" fontId="0" fillId="0" borderId="1" xfId="0" applyNumberFormat="1" applyBorder="1"/>
    <xf numFmtId="1" fontId="1" fillId="0" borderId="1" xfId="0" applyNumberFormat="1" applyFont="1" applyBorder="1"/>
    <xf numFmtId="0" fontId="0" fillId="0" borderId="0" xfId="0" applyAlignment="1">
      <alignment wrapText="1"/>
    </xf>
    <xf numFmtId="0" fontId="4" fillId="0" borderId="0" xfId="0" applyFont="1" applyAlignment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" fontId="4" fillId="0" borderId="0" xfId="0" applyNumberFormat="1" applyFont="1" applyAlignment="1"/>
    <xf numFmtId="1" fontId="0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2" fillId="0" borderId="1" xfId="0" applyNumberFormat="1" applyFont="1" applyBorder="1"/>
    <xf numFmtId="1" fontId="0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0" fillId="0" borderId="0" xfId="0" applyNumberFormat="1" applyFont="1"/>
    <xf numFmtId="1" fontId="7" fillId="0" borderId="0" xfId="0" applyNumberFormat="1" applyFont="1"/>
    <xf numFmtId="1" fontId="0" fillId="0" borderId="1" xfId="0" applyNumberFormat="1" applyFont="1" applyBorder="1"/>
    <xf numFmtId="1" fontId="0" fillId="0" borderId="0" xfId="0" applyNumberFormat="1" applyFont="1" applyBorder="1"/>
    <xf numFmtId="1" fontId="7" fillId="0" borderId="0" xfId="0" applyNumberFormat="1" applyFont="1" applyBorder="1"/>
    <xf numFmtId="1" fontId="7" fillId="0" borderId="0" xfId="0" applyNumberFormat="1" applyFont="1" applyAlignment="1">
      <alignment wrapText="1"/>
    </xf>
    <xf numFmtId="1" fontId="0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2" fontId="1" fillId="0" borderId="0" xfId="0" applyNumberFormat="1" applyFont="1"/>
    <xf numFmtId="1" fontId="2" fillId="0" borderId="1" xfId="0" applyNumberFormat="1" applyFont="1" applyBorder="1"/>
    <xf numFmtId="1" fontId="2" fillId="0" borderId="0" xfId="0" applyNumberFormat="1" applyFont="1"/>
    <xf numFmtId="1" fontId="1" fillId="0" borderId="1" xfId="0" applyNumberFormat="1" applyFont="1" applyFill="1" applyBorder="1" applyAlignment="1">
      <alignment horizontal="center"/>
    </xf>
    <xf numFmtId="9" fontId="0" fillId="0" borderId="1" xfId="0" applyNumberFormat="1" applyBorder="1"/>
    <xf numFmtId="10" fontId="0" fillId="0" borderId="1" xfId="0" applyNumberFormat="1" applyBorder="1"/>
    <xf numFmtId="0" fontId="0" fillId="0" borderId="1" xfId="0" applyNumberFormat="1" applyBorder="1"/>
    <xf numFmtId="10" fontId="0" fillId="0" borderId="1" xfId="1" applyNumberFormat="1" applyFont="1" applyBorder="1"/>
    <xf numFmtId="2" fontId="0" fillId="0" borderId="1" xfId="1" applyNumberFormat="1" applyFont="1" applyBorder="1"/>
    <xf numFmtId="10" fontId="2" fillId="0" borderId="1" xfId="1" applyNumberFormat="1" applyFont="1" applyBorder="1"/>
    <xf numFmtId="2" fontId="0" fillId="0" borderId="0" xfId="0" applyNumberFormat="1"/>
    <xf numFmtId="2" fontId="1" fillId="0" borderId="1" xfId="0" applyNumberFormat="1" applyFont="1" applyBorder="1" applyAlignment="1">
      <alignment horizontal="left" wrapText="1"/>
    </xf>
    <xf numFmtId="2" fontId="2" fillId="0" borderId="0" xfId="0" applyNumberFormat="1" applyFont="1"/>
    <xf numFmtId="10" fontId="0" fillId="0" borderId="0" xfId="1" applyNumberFormat="1" applyFont="1"/>
    <xf numFmtId="1" fontId="4" fillId="0" borderId="0" xfId="0" applyNumberFormat="1" applyFont="1" applyFill="1" applyAlignment="1"/>
    <xf numFmtId="1" fontId="0" fillId="0" borderId="0" xfId="0" applyNumberFormat="1" applyFill="1"/>
    <xf numFmtId="1" fontId="0" fillId="0" borderId="0" xfId="0" applyNumberFormat="1" applyFill="1" applyAlignment="1">
      <alignment wrapText="1"/>
    </xf>
    <xf numFmtId="1" fontId="1" fillId="0" borderId="1" xfId="0" applyNumberFormat="1" applyFont="1" applyFill="1" applyBorder="1" applyAlignment="1">
      <alignment wrapText="1"/>
    </xf>
    <xf numFmtId="1" fontId="0" fillId="0" borderId="1" xfId="0" applyNumberFormat="1" applyFill="1" applyBorder="1"/>
    <xf numFmtId="1" fontId="0" fillId="0" borderId="1" xfId="0" applyNumberFormat="1" applyFill="1" applyBorder="1" applyAlignment="1">
      <alignment wrapText="1"/>
    </xf>
    <xf numFmtId="1" fontId="1" fillId="0" borderId="1" xfId="0" applyNumberFormat="1" applyFont="1" applyFill="1" applyBorder="1"/>
    <xf numFmtId="1" fontId="1" fillId="0" borderId="0" xfId="0" applyNumberFormat="1" applyFont="1" applyFill="1"/>
    <xf numFmtId="1" fontId="3" fillId="0" borderId="0" xfId="0" applyNumberFormat="1" applyFont="1"/>
    <xf numFmtId="2" fontId="4" fillId="0" borderId="0" xfId="0" applyNumberFormat="1" applyFont="1" applyAlignment="1">
      <alignment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vertical="center"/>
    </xf>
    <xf numFmtId="1" fontId="1" fillId="0" borderId="1" xfId="0" applyNumberFormat="1" applyFont="1" applyFill="1" applyBorder="1" applyAlignment="1">
      <alignment horizontal="center"/>
    </xf>
    <xf numFmtId="1" fontId="0" fillId="0" borderId="4" xfId="0" applyNumberFormat="1" applyBorder="1"/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0" xfId="1" applyNumberFormat="1" applyFont="1"/>
    <xf numFmtId="1" fontId="0" fillId="0" borderId="1" xfId="1" applyNumberFormat="1" applyFont="1" applyBorder="1"/>
    <xf numFmtId="1" fontId="1" fillId="0" borderId="1" xfId="0" applyNumberFormat="1" applyFont="1" applyFill="1" applyBorder="1" applyAlignment="1">
      <alignment horizontal="center"/>
    </xf>
    <xf numFmtId="9" fontId="0" fillId="0" borderId="1" xfId="1" applyFont="1" applyBorder="1"/>
    <xf numFmtId="9" fontId="2" fillId="0" borderId="1" xfId="1" applyFont="1" applyBorder="1"/>
    <xf numFmtId="166" fontId="0" fillId="0" borderId="1" xfId="1" applyNumberFormat="1" applyFont="1" applyBorder="1"/>
    <xf numFmtId="1" fontId="1" fillId="2" borderId="1" xfId="0" applyNumberFormat="1" applyFont="1" applyFill="1" applyBorder="1"/>
    <xf numFmtId="1" fontId="6" fillId="2" borderId="1" xfId="0" applyNumberFormat="1" applyFont="1" applyFill="1" applyBorder="1"/>
    <xf numFmtId="1" fontId="9" fillId="2" borderId="1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/>
    <xf numFmtId="1" fontId="0" fillId="2" borderId="1" xfId="0" applyNumberFormat="1" applyFont="1" applyFill="1" applyBorder="1"/>
    <xf numFmtId="1" fontId="0" fillId="2" borderId="1" xfId="0" applyNumberFormat="1" applyFill="1" applyBorder="1"/>
    <xf numFmtId="0" fontId="1" fillId="2" borderId="1" xfId="0" applyFont="1" applyFill="1" applyBorder="1"/>
    <xf numFmtId="0" fontId="6" fillId="2" borderId="1" xfId="0" applyFont="1" applyFill="1" applyBorder="1"/>
    <xf numFmtId="9" fontId="1" fillId="0" borderId="1" xfId="1" applyFont="1" applyBorder="1"/>
    <xf numFmtId="1" fontId="6" fillId="0" borderId="1" xfId="0" applyNumberFormat="1" applyFont="1" applyBorder="1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0" xfId="0" applyNumberFormat="1"/>
    <xf numFmtId="166" fontId="0" fillId="0" borderId="1" xfId="0" applyNumberFormat="1" applyBorder="1"/>
    <xf numFmtId="0" fontId="0" fillId="0" borderId="1" xfId="0" applyBorder="1" applyAlignment="1">
      <alignment horizontal="right"/>
    </xf>
    <xf numFmtId="9" fontId="0" fillId="0" borderId="0" xfId="1" applyFont="1"/>
    <xf numFmtId="3" fontId="0" fillId="0" borderId="1" xfId="0" applyNumberFormat="1" applyBorder="1"/>
    <xf numFmtId="1" fontId="0" fillId="3" borderId="1" xfId="0" applyNumberFormat="1" applyFill="1" applyBorder="1"/>
    <xf numFmtId="1" fontId="1" fillId="3" borderId="1" xfId="0" applyNumberFormat="1" applyFont="1" applyFill="1" applyBorder="1"/>
    <xf numFmtId="1" fontId="1" fillId="0" borderId="1" xfId="0" applyNumberFormat="1" applyFont="1" applyFill="1" applyBorder="1" applyAlignment="1">
      <alignment horizontal="left"/>
    </xf>
    <xf numFmtId="10" fontId="0" fillId="0" borderId="0" xfId="0" applyNumberFormat="1"/>
    <xf numFmtId="1" fontId="12" fillId="0" borderId="1" xfId="0" applyNumberFormat="1" applyFont="1" applyBorder="1"/>
    <xf numFmtId="1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/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64" fontId="1" fillId="0" borderId="1" xfId="2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2" fontId="12" fillId="0" borderId="1" xfId="0" applyNumberFormat="1" applyFont="1" applyFill="1" applyBorder="1"/>
    <xf numFmtId="0" fontId="12" fillId="0" borderId="1" xfId="0" applyNumberFormat="1" applyFont="1" applyFill="1" applyBorder="1"/>
    <xf numFmtId="1" fontId="12" fillId="0" borderId="1" xfId="0" applyNumberFormat="1" applyFont="1" applyFill="1" applyBorder="1"/>
  </cellXfs>
  <cellStyles count="7">
    <cellStyle name="Comma 2" xfId="3"/>
    <cellStyle name="Comma 3" xfId="5"/>
    <cellStyle name="Currency" xfId="2" builtinId="4"/>
    <cellStyle name="Excel Built-in Normal" xfId="6"/>
    <cellStyle name="Normal" xfId="0" builtinId="0"/>
    <cellStyle name="Normal 2" xfId="4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" customWidth="1"/>
    <col min="2" max="67" width="16" style="7" customWidth="1"/>
    <col min="68" max="68" width="16" style="44" customWidth="1"/>
    <col min="69" max="69" width="16" style="8" customWidth="1"/>
    <col min="70" max="16384" width="9.140625" style="7"/>
  </cols>
  <sheetData>
    <row r="1" spans="1:69" ht="18.75" x14ac:dyDescent="0.3">
      <c r="A1" s="5" t="s">
        <v>33</v>
      </c>
    </row>
    <row r="2" spans="1:69" x14ac:dyDescent="0.25">
      <c r="A2" s="6" t="s">
        <v>34</v>
      </c>
    </row>
    <row r="3" spans="1:69" x14ac:dyDescent="0.25">
      <c r="A3" s="1" t="s">
        <v>0</v>
      </c>
      <c r="B3" s="116" t="s">
        <v>1</v>
      </c>
      <c r="C3" s="117"/>
      <c r="D3" s="116" t="s">
        <v>285</v>
      </c>
      <c r="E3" s="117"/>
      <c r="F3" s="116" t="s">
        <v>2</v>
      </c>
      <c r="G3" s="117"/>
      <c r="H3" s="116" t="s">
        <v>3</v>
      </c>
      <c r="I3" s="117"/>
      <c r="J3" s="116" t="s">
        <v>4</v>
      </c>
      <c r="K3" s="117"/>
      <c r="L3" s="116" t="s">
        <v>286</v>
      </c>
      <c r="M3" s="117"/>
      <c r="N3" s="116" t="s">
        <v>6</v>
      </c>
      <c r="O3" s="117"/>
      <c r="P3" s="116" t="s">
        <v>5</v>
      </c>
      <c r="Q3" s="117"/>
      <c r="R3" s="116" t="s">
        <v>7</v>
      </c>
      <c r="S3" s="117"/>
      <c r="T3" s="116" t="s">
        <v>287</v>
      </c>
      <c r="U3" s="117"/>
      <c r="V3" s="116" t="s">
        <v>8</v>
      </c>
      <c r="W3" s="117"/>
      <c r="X3" s="116" t="s">
        <v>288</v>
      </c>
      <c r="Y3" s="117"/>
      <c r="Z3" s="116" t="s">
        <v>9</v>
      </c>
      <c r="AA3" s="117"/>
      <c r="AB3" s="116" t="s">
        <v>10</v>
      </c>
      <c r="AC3" s="117"/>
      <c r="AD3" s="116" t="s">
        <v>289</v>
      </c>
      <c r="AE3" s="117"/>
      <c r="AF3" s="116" t="s">
        <v>11</v>
      </c>
      <c r="AG3" s="117"/>
      <c r="AH3" s="116" t="s">
        <v>12</v>
      </c>
      <c r="AI3" s="117"/>
      <c r="AJ3" s="116" t="s">
        <v>290</v>
      </c>
      <c r="AK3" s="117"/>
      <c r="AL3" s="116" t="s">
        <v>299</v>
      </c>
      <c r="AM3" s="117"/>
      <c r="AN3" s="116" t="s">
        <v>13</v>
      </c>
      <c r="AO3" s="117"/>
      <c r="AP3" s="116" t="s">
        <v>291</v>
      </c>
      <c r="AQ3" s="117"/>
      <c r="AR3" s="116" t="s">
        <v>292</v>
      </c>
      <c r="AS3" s="117"/>
      <c r="AT3" s="116" t="s">
        <v>307</v>
      </c>
      <c r="AU3" s="117"/>
      <c r="AV3" s="116" t="s">
        <v>293</v>
      </c>
      <c r="AW3" s="117"/>
      <c r="AX3" s="116" t="s">
        <v>14</v>
      </c>
      <c r="AY3" s="117"/>
      <c r="AZ3" s="116" t="s">
        <v>15</v>
      </c>
      <c r="BA3" s="117"/>
      <c r="BB3" s="116" t="s">
        <v>16</v>
      </c>
      <c r="BC3" s="117"/>
      <c r="BD3" s="116" t="s">
        <v>17</v>
      </c>
      <c r="BE3" s="117"/>
      <c r="BF3" s="116" t="s">
        <v>18</v>
      </c>
      <c r="BG3" s="117"/>
      <c r="BH3" s="116" t="s">
        <v>294</v>
      </c>
      <c r="BI3" s="117"/>
      <c r="BJ3" s="116" t="s">
        <v>295</v>
      </c>
      <c r="BK3" s="117"/>
      <c r="BL3" s="116" t="s">
        <v>19</v>
      </c>
      <c r="BM3" s="117"/>
      <c r="BN3" s="116" t="s">
        <v>20</v>
      </c>
      <c r="BO3" s="117"/>
      <c r="BP3" s="118" t="s">
        <v>21</v>
      </c>
      <c r="BQ3" s="119"/>
    </row>
    <row r="4" spans="1:69" s="69" customFormat="1" ht="30" x14ac:dyDescent="0.25">
      <c r="A4" s="66"/>
      <c r="B4" s="67" t="s">
        <v>296</v>
      </c>
      <c r="C4" s="68" t="s">
        <v>297</v>
      </c>
      <c r="D4" s="67" t="s">
        <v>296</v>
      </c>
      <c r="E4" s="68" t="s">
        <v>297</v>
      </c>
      <c r="F4" s="67" t="s">
        <v>296</v>
      </c>
      <c r="G4" s="68" t="s">
        <v>297</v>
      </c>
      <c r="H4" s="67" t="s">
        <v>296</v>
      </c>
      <c r="I4" s="68" t="s">
        <v>297</v>
      </c>
      <c r="J4" s="67" t="s">
        <v>296</v>
      </c>
      <c r="K4" s="68" t="s">
        <v>297</v>
      </c>
      <c r="L4" s="67" t="s">
        <v>296</v>
      </c>
      <c r="M4" s="68" t="s">
        <v>297</v>
      </c>
      <c r="N4" s="67" t="s">
        <v>296</v>
      </c>
      <c r="O4" s="68" t="s">
        <v>297</v>
      </c>
      <c r="P4" s="67" t="s">
        <v>296</v>
      </c>
      <c r="Q4" s="68" t="s">
        <v>297</v>
      </c>
      <c r="R4" s="67" t="s">
        <v>296</v>
      </c>
      <c r="S4" s="68" t="s">
        <v>297</v>
      </c>
      <c r="T4" s="67" t="s">
        <v>296</v>
      </c>
      <c r="U4" s="68" t="s">
        <v>297</v>
      </c>
      <c r="V4" s="67" t="s">
        <v>296</v>
      </c>
      <c r="W4" s="68" t="s">
        <v>297</v>
      </c>
      <c r="X4" s="67" t="s">
        <v>296</v>
      </c>
      <c r="Y4" s="68" t="s">
        <v>297</v>
      </c>
      <c r="Z4" s="67" t="s">
        <v>296</v>
      </c>
      <c r="AA4" s="68" t="s">
        <v>297</v>
      </c>
      <c r="AB4" s="67" t="s">
        <v>296</v>
      </c>
      <c r="AC4" s="68" t="s">
        <v>297</v>
      </c>
      <c r="AD4" s="67" t="s">
        <v>296</v>
      </c>
      <c r="AE4" s="68" t="s">
        <v>297</v>
      </c>
      <c r="AF4" s="67" t="s">
        <v>296</v>
      </c>
      <c r="AG4" s="68" t="s">
        <v>297</v>
      </c>
      <c r="AH4" s="67" t="s">
        <v>296</v>
      </c>
      <c r="AI4" s="68" t="s">
        <v>297</v>
      </c>
      <c r="AJ4" s="67" t="s">
        <v>296</v>
      </c>
      <c r="AK4" s="68" t="s">
        <v>297</v>
      </c>
      <c r="AL4" s="67" t="s">
        <v>296</v>
      </c>
      <c r="AM4" s="68" t="s">
        <v>297</v>
      </c>
      <c r="AN4" s="67" t="s">
        <v>296</v>
      </c>
      <c r="AO4" s="68" t="s">
        <v>297</v>
      </c>
      <c r="AP4" s="67" t="s">
        <v>296</v>
      </c>
      <c r="AQ4" s="68" t="s">
        <v>297</v>
      </c>
      <c r="AR4" s="67" t="s">
        <v>296</v>
      </c>
      <c r="AS4" s="68" t="s">
        <v>297</v>
      </c>
      <c r="AT4" s="67" t="s">
        <v>296</v>
      </c>
      <c r="AU4" s="68" t="s">
        <v>297</v>
      </c>
      <c r="AV4" s="67" t="s">
        <v>296</v>
      </c>
      <c r="AW4" s="68" t="s">
        <v>297</v>
      </c>
      <c r="AX4" s="67" t="s">
        <v>296</v>
      </c>
      <c r="AY4" s="68" t="s">
        <v>297</v>
      </c>
      <c r="AZ4" s="67" t="s">
        <v>296</v>
      </c>
      <c r="BA4" s="68" t="s">
        <v>297</v>
      </c>
      <c r="BB4" s="67" t="s">
        <v>296</v>
      </c>
      <c r="BC4" s="68" t="s">
        <v>297</v>
      </c>
      <c r="BD4" s="67" t="s">
        <v>296</v>
      </c>
      <c r="BE4" s="68" t="s">
        <v>297</v>
      </c>
      <c r="BF4" s="67" t="s">
        <v>296</v>
      </c>
      <c r="BG4" s="68" t="s">
        <v>297</v>
      </c>
      <c r="BH4" s="67" t="s">
        <v>296</v>
      </c>
      <c r="BI4" s="68" t="s">
        <v>297</v>
      </c>
      <c r="BJ4" s="67" t="s">
        <v>296</v>
      </c>
      <c r="BK4" s="68" t="s">
        <v>297</v>
      </c>
      <c r="BL4" s="67" t="s">
        <v>296</v>
      </c>
      <c r="BM4" s="68" t="s">
        <v>297</v>
      </c>
      <c r="BN4" s="67" t="s">
        <v>296</v>
      </c>
      <c r="BO4" s="68" t="s">
        <v>297</v>
      </c>
      <c r="BP4" s="84" t="s">
        <v>296</v>
      </c>
      <c r="BQ4" s="85" t="s">
        <v>297</v>
      </c>
    </row>
    <row r="5" spans="1:69" x14ac:dyDescent="0.25">
      <c r="A5" s="2" t="s">
        <v>22</v>
      </c>
      <c r="B5" s="10">
        <v>386184</v>
      </c>
      <c r="C5" s="10">
        <v>669683</v>
      </c>
      <c r="D5" s="10">
        <v>1783213</v>
      </c>
      <c r="E5" s="10">
        <v>3299316</v>
      </c>
      <c r="F5" s="10">
        <v>28496703</v>
      </c>
      <c r="G5" s="10">
        <v>29022625</v>
      </c>
      <c r="H5" s="10">
        <v>19858818</v>
      </c>
      <c r="I5" s="10">
        <v>38036897</v>
      </c>
      <c r="J5" s="10">
        <v>4645280</v>
      </c>
      <c r="K5" s="10">
        <v>8809089</v>
      </c>
      <c r="L5" s="10">
        <f>49022+7591231+292718</f>
        <v>7932971</v>
      </c>
      <c r="M5" s="10">
        <f>105661+15275026+569096</f>
        <v>15949783</v>
      </c>
      <c r="N5" s="10">
        <v>2121172.79</v>
      </c>
      <c r="O5" s="10">
        <v>3592013.1</v>
      </c>
      <c r="P5" s="10">
        <v>403543</v>
      </c>
      <c r="Q5" s="10">
        <v>753102</v>
      </c>
      <c r="R5" s="10">
        <v>5141575</v>
      </c>
      <c r="S5" s="10">
        <v>10030786</v>
      </c>
      <c r="T5" s="10">
        <v>4418835</v>
      </c>
      <c r="U5" s="10">
        <v>8301479</v>
      </c>
      <c r="V5" s="10">
        <v>12194684</v>
      </c>
      <c r="W5" s="10">
        <v>22432033</v>
      </c>
      <c r="X5" s="10">
        <v>4715181</v>
      </c>
      <c r="Y5" s="10">
        <v>6996308</v>
      </c>
      <c r="Z5" s="10">
        <v>24625241</v>
      </c>
      <c r="AA5" s="10">
        <v>47863633</v>
      </c>
      <c r="AB5" s="10">
        <f>181307+188667+12103341</f>
        <v>12473315</v>
      </c>
      <c r="AC5" s="10">
        <f>352106+402158+22159377</f>
        <v>22913641</v>
      </c>
      <c r="AD5" s="10">
        <v>954521</v>
      </c>
      <c r="AE5" s="10">
        <v>1806502</v>
      </c>
      <c r="AF5" s="10">
        <f>42052+54148+3090433</f>
        <v>3186633</v>
      </c>
      <c r="AG5" s="10">
        <f>85433+92358+6123887</f>
        <v>6301678</v>
      </c>
      <c r="AH5" s="10">
        <v>1904280</v>
      </c>
      <c r="AI5" s="10">
        <v>3779858</v>
      </c>
      <c r="AJ5" s="10">
        <v>1483038</v>
      </c>
      <c r="AK5" s="10">
        <v>2759357</v>
      </c>
      <c r="AL5" s="10">
        <v>2663665</v>
      </c>
      <c r="AM5" s="10">
        <v>4812852</v>
      </c>
      <c r="AN5" s="108">
        <v>31552216</v>
      </c>
      <c r="AO5" s="108">
        <v>55728923</v>
      </c>
      <c r="AP5" s="10">
        <v>284130</v>
      </c>
      <c r="AQ5" s="10">
        <v>497924</v>
      </c>
      <c r="AR5" s="10">
        <v>388326</v>
      </c>
      <c r="AS5" s="10">
        <v>737065</v>
      </c>
      <c r="AT5" s="10">
        <f>76669+625026+9367707</f>
        <v>10069402</v>
      </c>
      <c r="AU5" s="10">
        <f>96246+1146444+17012786</f>
        <v>18255476</v>
      </c>
      <c r="AV5" s="10">
        <v>4213283</v>
      </c>
      <c r="AW5" s="10">
        <v>7427741</v>
      </c>
      <c r="AX5" s="10">
        <f>45398+155776+4985029</f>
        <v>5186203</v>
      </c>
      <c r="AY5" s="10">
        <f>95081+241776+10104846</f>
        <v>10441703</v>
      </c>
      <c r="AZ5" s="10">
        <v>8769824</v>
      </c>
      <c r="BA5" s="10">
        <v>17364934</v>
      </c>
      <c r="BB5" s="10">
        <v>5482628</v>
      </c>
      <c r="BC5" s="10">
        <v>11102111</v>
      </c>
      <c r="BD5" s="10">
        <v>14811566</v>
      </c>
      <c r="BE5" s="10">
        <v>25431958</v>
      </c>
      <c r="BF5" s="10">
        <v>11845199</v>
      </c>
      <c r="BG5" s="10">
        <v>23244356</v>
      </c>
      <c r="BH5" s="10">
        <f>1039661+56991617+7662828</f>
        <v>65694106</v>
      </c>
      <c r="BI5" s="10">
        <f>1900056+109384857+14584736</f>
        <v>125869649</v>
      </c>
      <c r="BJ5" s="10">
        <f>447349+1746083+25777787</f>
        <v>27971219</v>
      </c>
      <c r="BK5" s="10">
        <f>1054474+4291496+47044079</f>
        <v>52390049</v>
      </c>
      <c r="BL5" s="108">
        <v>31482127</v>
      </c>
      <c r="BM5" s="108">
        <v>63098788</v>
      </c>
      <c r="BN5" s="10">
        <f>5340+110545+3643979</f>
        <v>3759864</v>
      </c>
      <c r="BO5" s="10">
        <f>17939+259318+6555167</f>
        <v>6832424</v>
      </c>
      <c r="BP5" s="87">
        <f>B5+D5+F5+H5+J5+L5+N5+P5+R5+T5+V5+X5+Z5+AB5+AD5+AF5+AH5+AJ5+AL5+AN5+AP5+AR5+AT5+AV5+AX5+AZ5+BB5+BD5+BF5+BH5+BJ5+BL5+BN5</f>
        <v>360898945.78999996</v>
      </c>
      <c r="BQ5" s="87">
        <f>C5+E5+G5+I5+K5+M5+O5+Q5+S5+U5+W5+Y5+AA5+AC5+AE5+AG5+AI5+AK5+AM5+AO5+AQ5+AS5+AU5+AW5+AY5+BA5+BC5+BE5+BG5+BI5+BK5+BM5+BO5</f>
        <v>656553736.10000002</v>
      </c>
    </row>
    <row r="6" spans="1:69" ht="30" x14ac:dyDescent="0.25">
      <c r="A6" s="2" t="s">
        <v>23</v>
      </c>
      <c r="B6" s="10">
        <v>5492</v>
      </c>
      <c r="C6" s="10">
        <v>24693</v>
      </c>
      <c r="D6" s="10">
        <v>10739</v>
      </c>
      <c r="E6" s="10">
        <v>28384</v>
      </c>
      <c r="F6" s="10">
        <v>75476</v>
      </c>
      <c r="G6" s="10">
        <v>96271</v>
      </c>
      <c r="H6" s="10">
        <v>371946</v>
      </c>
      <c r="I6" s="10">
        <v>976250</v>
      </c>
      <c r="J6" s="10">
        <v>187419</v>
      </c>
      <c r="K6" s="10">
        <v>232360</v>
      </c>
      <c r="L6" s="10">
        <f>1338+289196+13051</f>
        <v>303585</v>
      </c>
      <c r="M6" s="10">
        <f>2134+622911+25488</f>
        <v>650533</v>
      </c>
      <c r="N6" s="10">
        <v>101783.01</v>
      </c>
      <c r="O6" s="10">
        <v>177850.7</v>
      </c>
      <c r="P6" s="10">
        <v>43904</v>
      </c>
      <c r="Q6" s="10">
        <v>72915</v>
      </c>
      <c r="R6" s="10">
        <v>65969</v>
      </c>
      <c r="S6" s="10">
        <v>80463</v>
      </c>
      <c r="T6" s="10">
        <v>36240</v>
      </c>
      <c r="U6" s="10">
        <v>36240</v>
      </c>
      <c r="V6" s="10">
        <v>131738</v>
      </c>
      <c r="W6" s="10">
        <v>327892</v>
      </c>
      <c r="X6" s="10">
        <v>76521</v>
      </c>
      <c r="Y6" s="10">
        <v>99543</v>
      </c>
      <c r="Z6" s="10">
        <v>408706</v>
      </c>
      <c r="AA6" s="10">
        <v>876022</v>
      </c>
      <c r="AB6" s="10">
        <f>3494+6231+311398</f>
        <v>321123</v>
      </c>
      <c r="AC6" s="10">
        <f>4082+7198+359771</f>
        <v>371051</v>
      </c>
      <c r="AD6" s="10">
        <v>44818</v>
      </c>
      <c r="AE6" s="10">
        <v>83683</v>
      </c>
      <c r="AF6" s="10">
        <f>776+3099+32981</f>
        <v>36856</v>
      </c>
      <c r="AG6" s="10">
        <f>881+3656+37034</f>
        <v>41571</v>
      </c>
      <c r="AH6" s="10">
        <v>173805</v>
      </c>
      <c r="AI6" s="10">
        <v>243815</v>
      </c>
      <c r="AJ6" s="10">
        <v>24011</v>
      </c>
      <c r="AK6" s="10">
        <v>28606</v>
      </c>
      <c r="AL6" s="10">
        <v>2371</v>
      </c>
      <c r="AM6" s="10">
        <v>8714</v>
      </c>
      <c r="AN6" s="108">
        <v>2516876</v>
      </c>
      <c r="AO6" s="108">
        <v>3762941</v>
      </c>
      <c r="AP6" s="10">
        <v>17685</v>
      </c>
      <c r="AQ6" s="10">
        <v>17994</v>
      </c>
      <c r="AR6" s="10">
        <v>8908</v>
      </c>
      <c r="AS6" s="10">
        <v>12038</v>
      </c>
      <c r="AT6" s="10">
        <f>1699+24053+675502</f>
        <v>701254</v>
      </c>
      <c r="AU6" s="10">
        <f>3242+43543+1179971</f>
        <v>1226756</v>
      </c>
      <c r="AV6" s="10">
        <v>349</v>
      </c>
      <c r="AW6" s="10">
        <v>349</v>
      </c>
      <c r="AX6" s="10">
        <f>765+4314+126310</f>
        <v>131389</v>
      </c>
      <c r="AY6" s="10">
        <f>1485+8540+227689</f>
        <v>237714</v>
      </c>
      <c r="AZ6" s="10">
        <v>236962</v>
      </c>
      <c r="BA6" s="10">
        <v>465597</v>
      </c>
      <c r="BB6" s="10">
        <v>185693</v>
      </c>
      <c r="BC6" s="10">
        <v>560065</v>
      </c>
      <c r="BD6" s="10">
        <v>2436</v>
      </c>
      <c r="BE6" s="10">
        <v>2555</v>
      </c>
      <c r="BF6" s="10">
        <v>572856</v>
      </c>
      <c r="BG6" s="10">
        <v>896784</v>
      </c>
      <c r="BH6" s="10">
        <f>45327+2196795+340075</f>
        <v>2582197</v>
      </c>
      <c r="BI6" s="10">
        <f>54823+2657044+411324</f>
        <v>3123191</v>
      </c>
      <c r="BJ6" s="10">
        <f>31687+151653+1698145</f>
        <v>1881485</v>
      </c>
      <c r="BK6" s="10">
        <f>38743+185662+2043827</f>
        <v>2268232</v>
      </c>
      <c r="BL6" s="108">
        <v>1545199</v>
      </c>
      <c r="BM6" s="108">
        <v>3435998</v>
      </c>
      <c r="BN6" s="10">
        <f>49+1597+21116</f>
        <v>22762</v>
      </c>
      <c r="BO6" s="10">
        <f>91+2874+37490</f>
        <v>40455</v>
      </c>
      <c r="BP6" s="87">
        <f t="shared" ref="BP6:BP15" si="0">B6+D6+F6+H6+J6+L6+N6+P6+R6+T6+V6+X6+Z6+AB6+AD6+AF6+AH6+AJ6+AL6+AN6+AP6+AR6+AT6+AV6+AX6+AZ6+BB6+BD6+BF6+BH6+BJ6+BL6+BN6</f>
        <v>12828553.01</v>
      </c>
      <c r="BQ6" s="87">
        <f t="shared" ref="BQ6:BQ15" si="1">C6+E6+G6+I6+K6+M6+O6+Q6+S6+U6+W6+Y6+AA6+AC6+AE6+AG6+AI6+AK6+AM6+AO6+AQ6+AS6+AU6+AW6+AY6+BA6+BC6+BE6+BG6+BI6+BK6+BM6+BO6</f>
        <v>20507525.699999999</v>
      </c>
    </row>
    <row r="7" spans="1:69" x14ac:dyDescent="0.25">
      <c r="A7" s="2" t="s">
        <v>24</v>
      </c>
      <c r="B7" s="10">
        <f t="shared" ref="B7" si="2">B9-B8-B6-B5</f>
        <v>0</v>
      </c>
      <c r="C7" s="10">
        <f t="shared" ref="C7:K7" si="3">C9-C8-C6-C5</f>
        <v>0</v>
      </c>
      <c r="D7" s="10">
        <f t="shared" si="3"/>
        <v>-7155</v>
      </c>
      <c r="E7" s="10">
        <f t="shared" si="3"/>
        <v>-10972</v>
      </c>
      <c r="F7" s="10">
        <f t="shared" si="3"/>
        <v>219468</v>
      </c>
      <c r="G7" s="10">
        <f t="shared" si="3"/>
        <v>253776</v>
      </c>
      <c r="H7" s="10">
        <f t="shared" si="3"/>
        <v>6567</v>
      </c>
      <c r="I7" s="10">
        <f t="shared" si="3"/>
        <v>23715</v>
      </c>
      <c r="J7" s="10">
        <f t="shared" si="3"/>
        <v>-16751</v>
      </c>
      <c r="K7" s="10">
        <f t="shared" si="3"/>
        <v>-18545</v>
      </c>
      <c r="L7" s="10">
        <f t="shared" ref="L7:BO7" si="4">L9-L8-L6-L5</f>
        <v>171873</v>
      </c>
      <c r="M7" s="10">
        <f t="shared" si="4"/>
        <v>408071</v>
      </c>
      <c r="N7" s="10">
        <f t="shared" si="4"/>
        <v>3579.570000000298</v>
      </c>
      <c r="O7" s="10">
        <f t="shared" si="4"/>
        <v>5256.6699999994598</v>
      </c>
      <c r="P7" s="10">
        <f t="shared" si="4"/>
        <v>976</v>
      </c>
      <c r="Q7" s="10">
        <f t="shared" si="4"/>
        <v>983</v>
      </c>
      <c r="R7" s="10">
        <f t="shared" si="4"/>
        <v>681</v>
      </c>
      <c r="S7" s="10">
        <f t="shared" si="4"/>
        <v>2069</v>
      </c>
      <c r="T7" s="10">
        <f t="shared" si="4"/>
        <v>-544353</v>
      </c>
      <c r="U7" s="10">
        <f t="shared" si="4"/>
        <v>-17</v>
      </c>
      <c r="V7" s="10">
        <f t="shared" si="4"/>
        <v>32596</v>
      </c>
      <c r="W7" s="10">
        <f t="shared" si="4"/>
        <v>46315</v>
      </c>
      <c r="X7" s="10">
        <f t="shared" si="4"/>
        <v>2877</v>
      </c>
      <c r="Y7" s="10">
        <f t="shared" ref="Y7" si="5">Y9-Y8-Y6-Y5</f>
        <v>9134</v>
      </c>
      <c r="Z7" s="10">
        <f t="shared" si="4"/>
        <v>123252</v>
      </c>
      <c r="AA7" s="10">
        <f t="shared" ref="AA7" si="6">AA9-AA8-AA6-AA5</f>
        <v>241528</v>
      </c>
      <c r="AB7" s="10">
        <f t="shared" si="4"/>
        <v>-8193</v>
      </c>
      <c r="AC7" s="10">
        <f t="shared" ref="AC7" si="7">AC9-AC8-AC6-AC5</f>
        <v>-6923</v>
      </c>
      <c r="AD7" s="10">
        <f t="shared" si="4"/>
        <v>193</v>
      </c>
      <c r="AE7" s="10">
        <f t="shared" ref="AE7" si="8">AE9-AE8-AE6-AE5</f>
        <v>388</v>
      </c>
      <c r="AF7" s="10">
        <f t="shared" si="4"/>
        <v>0</v>
      </c>
      <c r="AG7" s="10">
        <f t="shared" ref="AG7" si="9">AG9-AG8-AG6-AG5</f>
        <v>0</v>
      </c>
      <c r="AH7" s="10">
        <f t="shared" si="4"/>
        <v>24050</v>
      </c>
      <c r="AI7" s="10">
        <f t="shared" si="4"/>
        <v>41480</v>
      </c>
      <c r="AJ7" s="10">
        <f t="shared" si="4"/>
        <v>-189208</v>
      </c>
      <c r="AK7" s="10">
        <f t="shared" si="4"/>
        <v>-196402</v>
      </c>
      <c r="AL7" s="10">
        <f t="shared" si="4"/>
        <v>317618</v>
      </c>
      <c r="AM7" s="10">
        <f t="shared" si="4"/>
        <v>621703</v>
      </c>
      <c r="AN7" s="10">
        <f t="shared" si="4"/>
        <v>0</v>
      </c>
      <c r="AO7" s="10">
        <f t="shared" ref="AO7" si="10">AO9-AO8-AO6-AO5</f>
        <v>0</v>
      </c>
      <c r="AP7" s="10">
        <f t="shared" si="4"/>
        <v>8025</v>
      </c>
      <c r="AQ7" s="10">
        <f t="shared" ref="AQ7" si="11">AQ9-AQ8-AQ6-AQ5</f>
        <v>8025</v>
      </c>
      <c r="AR7" s="10">
        <f t="shared" si="4"/>
        <v>100810</v>
      </c>
      <c r="AS7" s="10">
        <f t="shared" si="4"/>
        <v>216211</v>
      </c>
      <c r="AT7" s="10">
        <f t="shared" si="4"/>
        <v>367556</v>
      </c>
      <c r="AU7" s="10">
        <f t="shared" si="4"/>
        <v>407639</v>
      </c>
      <c r="AV7" s="10">
        <f t="shared" si="4"/>
        <v>0</v>
      </c>
      <c r="AW7" s="10">
        <f t="shared" si="4"/>
        <v>0</v>
      </c>
      <c r="AX7" s="10">
        <f t="shared" si="4"/>
        <v>2306</v>
      </c>
      <c r="AY7" s="10">
        <f t="shared" si="4"/>
        <v>4354</v>
      </c>
      <c r="AZ7" s="10">
        <f t="shared" si="4"/>
        <v>5359</v>
      </c>
      <c r="BA7" s="10">
        <f t="shared" si="4"/>
        <v>11677</v>
      </c>
      <c r="BB7" s="10">
        <f t="shared" si="4"/>
        <v>-13563</v>
      </c>
      <c r="BC7" s="10">
        <f t="shared" ref="BC7" si="12">BC9-BC8-BC6-BC5</f>
        <v>-16176</v>
      </c>
      <c r="BD7" s="10">
        <f t="shared" si="4"/>
        <v>0</v>
      </c>
      <c r="BE7" s="10">
        <f t="shared" si="4"/>
        <v>0</v>
      </c>
      <c r="BF7" s="10">
        <f t="shared" si="4"/>
        <v>26071</v>
      </c>
      <c r="BG7" s="10">
        <f t="shared" ref="BG7" si="13">BG9-BG8-BG6-BG5</f>
        <v>34368</v>
      </c>
      <c r="BH7" s="10">
        <f t="shared" si="4"/>
        <v>0</v>
      </c>
      <c r="BI7" s="10">
        <f t="shared" si="4"/>
        <v>0</v>
      </c>
      <c r="BJ7" s="10">
        <f t="shared" ref="BJ7:BK7" si="14">BJ9-BJ8-BJ6-BJ5</f>
        <v>-154479</v>
      </c>
      <c r="BK7" s="10">
        <f t="shared" si="14"/>
        <v>-668093</v>
      </c>
      <c r="BL7" s="10">
        <f t="shared" si="4"/>
        <v>3231</v>
      </c>
      <c r="BM7" s="10">
        <f t="shared" ref="BM7" si="15">BM9-BM8-BM6-BM5</f>
        <v>4344</v>
      </c>
      <c r="BN7" s="10">
        <f t="shared" si="4"/>
        <v>-25824</v>
      </c>
      <c r="BO7" s="10">
        <f t="shared" si="4"/>
        <v>-53878</v>
      </c>
      <c r="BP7" s="87">
        <f t="shared" si="0"/>
        <v>457562.5700000003</v>
      </c>
      <c r="BQ7" s="87">
        <f t="shared" si="1"/>
        <v>1370030.6699999995</v>
      </c>
    </row>
    <row r="8" spans="1:69" x14ac:dyDescent="0.25">
      <c r="A8" s="2" t="s">
        <v>25</v>
      </c>
      <c r="B8" s="10">
        <v>37657</v>
      </c>
      <c r="C8" s="10">
        <v>75652</v>
      </c>
      <c r="D8" s="95">
        <v>129370</v>
      </c>
      <c r="E8" s="10">
        <v>241157</v>
      </c>
      <c r="F8" s="10">
        <v>1097335</v>
      </c>
      <c r="G8" s="10">
        <v>2013110</v>
      </c>
      <c r="H8" s="10">
        <v>2704520</v>
      </c>
      <c r="I8" s="10">
        <v>5103816</v>
      </c>
      <c r="J8" s="10">
        <v>781606</v>
      </c>
      <c r="K8" s="10">
        <v>1540356</v>
      </c>
      <c r="L8" s="10">
        <f>6179+1389151+61816</f>
        <v>1457146</v>
      </c>
      <c r="M8" s="10">
        <f>9432+2752790+112636</f>
        <v>2874858</v>
      </c>
      <c r="N8" s="10">
        <v>1236635.25</v>
      </c>
      <c r="O8" s="10">
        <v>2450588.5499999998</v>
      </c>
      <c r="P8" s="10">
        <v>29239</v>
      </c>
      <c r="Q8" s="10">
        <v>56952</v>
      </c>
      <c r="R8" s="10">
        <v>731203</v>
      </c>
      <c r="S8" s="10">
        <v>1426418</v>
      </c>
      <c r="T8" s="10">
        <v>1097452</v>
      </c>
      <c r="U8" s="10">
        <v>1097436</v>
      </c>
      <c r="V8" s="10">
        <v>1834381</v>
      </c>
      <c r="W8" s="10">
        <v>3639725</v>
      </c>
      <c r="X8" s="10">
        <v>274761</v>
      </c>
      <c r="Y8" s="10">
        <v>536604</v>
      </c>
      <c r="Z8" s="10">
        <v>3676815</v>
      </c>
      <c r="AA8" s="10">
        <v>7149559</v>
      </c>
      <c r="AB8" s="10">
        <f>14663+27736+1385188</f>
        <v>1427587</v>
      </c>
      <c r="AC8" s="10">
        <f>30482+53751+2686663</f>
        <v>2770896</v>
      </c>
      <c r="AD8" s="10">
        <v>96040</v>
      </c>
      <c r="AE8" s="10">
        <v>187266</v>
      </c>
      <c r="AF8" s="10">
        <f>7341+15688+334997</f>
        <v>358026</v>
      </c>
      <c r="AG8" s="10">
        <f>15444+58936+648899</f>
        <v>723279</v>
      </c>
      <c r="AH8" s="10">
        <v>371455</v>
      </c>
      <c r="AI8" s="10">
        <v>725994</v>
      </c>
      <c r="AJ8" s="10">
        <v>68778</v>
      </c>
      <c r="AK8" s="10">
        <v>133362</v>
      </c>
      <c r="AL8" s="10">
        <v>125847</v>
      </c>
      <c r="AM8" s="10">
        <v>251676</v>
      </c>
      <c r="AN8" s="108">
        <v>4721860</v>
      </c>
      <c r="AO8" s="108">
        <v>7890563</v>
      </c>
      <c r="AP8" s="10">
        <v>35109</v>
      </c>
      <c r="AQ8" s="10">
        <v>65656</v>
      </c>
      <c r="AR8" s="10">
        <v>50213</v>
      </c>
      <c r="AS8" s="10">
        <v>112011</v>
      </c>
      <c r="AT8" s="10">
        <f>3803+55196+1573994</f>
        <v>1632993</v>
      </c>
      <c r="AU8" s="10">
        <f>8900+119539+3239374</f>
        <v>3367813</v>
      </c>
      <c r="AV8" s="10">
        <v>255796</v>
      </c>
      <c r="AW8" s="10">
        <v>499872</v>
      </c>
      <c r="AX8" s="10">
        <f>5049+41691+797883</f>
        <v>844623</v>
      </c>
      <c r="AY8" s="10">
        <f>10264+83570+1579659</f>
        <v>1673493</v>
      </c>
      <c r="AZ8" s="10">
        <v>1074301</v>
      </c>
      <c r="BA8" s="10">
        <v>2147664</v>
      </c>
      <c r="BB8" s="10">
        <v>1482832</v>
      </c>
      <c r="BC8" s="10">
        <v>2840089</v>
      </c>
      <c r="BD8" s="10">
        <v>645704</v>
      </c>
      <c r="BE8" s="10">
        <v>1165421</v>
      </c>
      <c r="BF8" s="10">
        <v>1953396</v>
      </c>
      <c r="BG8" s="10">
        <v>3735548</v>
      </c>
      <c r="BH8" s="10">
        <f>135187+6551869+1014263</f>
        <v>7701319</v>
      </c>
      <c r="BI8" s="10">
        <f>231914+11239817+1739982</f>
        <v>13211713</v>
      </c>
      <c r="BJ8" s="10">
        <f>81201+387567+4498166</f>
        <v>4966934</v>
      </c>
      <c r="BK8" s="10">
        <f>138180+662190+7289592</f>
        <v>8089962</v>
      </c>
      <c r="BL8" s="108">
        <v>5158463</v>
      </c>
      <c r="BM8" s="108">
        <v>9587615</v>
      </c>
      <c r="BN8" s="10">
        <f>884+29064+385936</f>
        <v>415884</v>
      </c>
      <c r="BO8" s="10">
        <f>1887+59684+778526</f>
        <v>840097</v>
      </c>
      <c r="BP8" s="87">
        <f t="shared" si="0"/>
        <v>48475280.25</v>
      </c>
      <c r="BQ8" s="87">
        <f t="shared" si="1"/>
        <v>88226221.549999997</v>
      </c>
    </row>
    <row r="9" spans="1:69" s="8" customFormat="1" x14ac:dyDescent="0.25">
      <c r="A9" s="3" t="s">
        <v>26</v>
      </c>
      <c r="B9" s="11">
        <v>429333</v>
      </c>
      <c r="C9" s="11">
        <v>770028</v>
      </c>
      <c r="D9" s="11">
        <v>1916167</v>
      </c>
      <c r="E9" s="11">
        <v>3557885</v>
      </c>
      <c r="F9" s="11">
        <v>29888982</v>
      </c>
      <c r="G9" s="11">
        <v>31385782</v>
      </c>
      <c r="H9" s="11">
        <v>22941851</v>
      </c>
      <c r="I9" s="11">
        <v>44140678</v>
      </c>
      <c r="J9" s="11">
        <v>5597554</v>
      </c>
      <c r="K9" s="11">
        <v>10563260</v>
      </c>
      <c r="L9" s="11">
        <f>56724+9428690+380161</f>
        <v>9865575</v>
      </c>
      <c r="M9" s="11">
        <f>117522+19017416+748307</f>
        <v>19883245</v>
      </c>
      <c r="N9" s="11">
        <v>3463170.62</v>
      </c>
      <c r="O9" s="11">
        <v>6225709.0199999996</v>
      </c>
      <c r="P9" s="11">
        <v>477662</v>
      </c>
      <c r="Q9" s="11">
        <v>883952</v>
      </c>
      <c r="R9" s="11">
        <v>5939428</v>
      </c>
      <c r="S9" s="11">
        <v>11539736</v>
      </c>
      <c r="T9" s="11">
        <v>5008174</v>
      </c>
      <c r="U9" s="11">
        <v>9435138</v>
      </c>
      <c r="V9" s="11">
        <v>14193399</v>
      </c>
      <c r="W9" s="11">
        <v>26445965</v>
      </c>
      <c r="X9" s="11">
        <v>5069340</v>
      </c>
      <c r="Y9" s="11">
        <v>7641589</v>
      </c>
      <c r="Z9" s="11">
        <v>28834014</v>
      </c>
      <c r="AA9" s="11">
        <v>56130742</v>
      </c>
      <c r="AB9" s="11">
        <f>199071+216582+13798179</f>
        <v>14213832</v>
      </c>
      <c r="AC9" s="11">
        <f>386265+457595+25204805</f>
        <v>26048665</v>
      </c>
      <c r="AD9" s="11">
        <v>1095572</v>
      </c>
      <c r="AE9" s="11">
        <v>2077839</v>
      </c>
      <c r="AF9" s="11">
        <f>50169+72935+3458411</f>
        <v>3581515</v>
      </c>
      <c r="AG9" s="11">
        <f>101758+154950+6809820</f>
        <v>7066528</v>
      </c>
      <c r="AH9" s="11">
        <v>2473590</v>
      </c>
      <c r="AI9" s="11">
        <v>4791147</v>
      </c>
      <c r="AJ9" s="11">
        <v>1386619</v>
      </c>
      <c r="AK9" s="11">
        <v>2724923</v>
      </c>
      <c r="AL9" s="11">
        <v>3109501</v>
      </c>
      <c r="AM9" s="11">
        <v>5694945</v>
      </c>
      <c r="AN9" s="11">
        <v>38790952</v>
      </c>
      <c r="AO9" s="11">
        <v>67382427</v>
      </c>
      <c r="AP9" s="11">
        <v>344949</v>
      </c>
      <c r="AQ9" s="11">
        <v>589599</v>
      </c>
      <c r="AR9" s="11">
        <v>548257</v>
      </c>
      <c r="AS9" s="11">
        <v>1077325</v>
      </c>
      <c r="AT9" s="11">
        <f>82171+726160+11962874</f>
        <v>12771205</v>
      </c>
      <c r="AU9" s="11">
        <f>108388+1330925+21818371</f>
        <v>23257684</v>
      </c>
      <c r="AV9" s="11">
        <v>4469428</v>
      </c>
      <c r="AW9" s="11">
        <v>7927962</v>
      </c>
      <c r="AX9" s="11">
        <f>51203+203457+5909861</f>
        <v>6164521</v>
      </c>
      <c r="AY9" s="11">
        <f>106980+337112+11913172</f>
        <v>12357264</v>
      </c>
      <c r="AZ9" s="11">
        <v>10086446</v>
      </c>
      <c r="BA9" s="11">
        <v>19989872</v>
      </c>
      <c r="BB9" s="11">
        <v>7137590</v>
      </c>
      <c r="BC9" s="11">
        <v>14486089</v>
      </c>
      <c r="BD9" s="11">
        <v>15459706</v>
      </c>
      <c r="BE9" s="11">
        <v>26599934</v>
      </c>
      <c r="BF9" s="11">
        <v>14397522</v>
      </c>
      <c r="BG9" s="11">
        <v>27911056</v>
      </c>
      <c r="BH9" s="11">
        <f>1220174+65740281+9017167</f>
        <v>75977622</v>
      </c>
      <c r="BI9" s="11">
        <f>2186793+123281718+16736042</f>
        <v>142204553</v>
      </c>
      <c r="BJ9" s="11">
        <f>550870+2277146+31837143</f>
        <v>34665159</v>
      </c>
      <c r="BK9" s="11">
        <f>1212658+5086028+55781464</f>
        <v>62080150</v>
      </c>
      <c r="BL9" s="11">
        <v>38189020</v>
      </c>
      <c r="BM9" s="11">
        <v>76126745</v>
      </c>
      <c r="BN9" s="11">
        <f>6208+142933+4023545</f>
        <v>4172686</v>
      </c>
      <c r="BO9" s="11">
        <f>19781+323427+7315890</f>
        <v>7659098</v>
      </c>
      <c r="BP9" s="80">
        <f t="shared" si="0"/>
        <v>422660341.62</v>
      </c>
      <c r="BQ9" s="80">
        <f t="shared" si="1"/>
        <v>766657514.01999998</v>
      </c>
    </row>
    <row r="10" spans="1:69" x14ac:dyDescent="0.25">
      <c r="A10" s="2" t="s">
        <v>27</v>
      </c>
      <c r="B10" s="10">
        <v>214058</v>
      </c>
      <c r="C10" s="10">
        <v>455166</v>
      </c>
      <c r="D10" s="10">
        <v>898525</v>
      </c>
      <c r="E10" s="10">
        <v>1626263</v>
      </c>
      <c r="F10" s="10">
        <v>24355422</v>
      </c>
      <c r="G10" s="10">
        <v>24645237</v>
      </c>
      <c r="H10" s="10">
        <v>14742405</v>
      </c>
      <c r="I10" s="10">
        <v>27119716</v>
      </c>
      <c r="J10" s="10">
        <v>3035190</v>
      </c>
      <c r="K10" s="10">
        <v>5841757</v>
      </c>
      <c r="L10" s="10">
        <f>47839+5601944+61061</f>
        <v>5710844</v>
      </c>
      <c r="M10" s="10">
        <f>73367+10486341+250119</f>
        <v>10809827</v>
      </c>
      <c r="N10" s="10">
        <v>3437422.71</v>
      </c>
      <c r="O10" s="10">
        <v>7011966.5599999996</v>
      </c>
      <c r="P10" s="10">
        <v>382283</v>
      </c>
      <c r="Q10" s="10">
        <v>762858</v>
      </c>
      <c r="R10" s="10">
        <v>3562050</v>
      </c>
      <c r="S10" s="10">
        <v>6745802</v>
      </c>
      <c r="T10" s="10">
        <v>3181812</v>
      </c>
      <c r="U10" s="10">
        <v>5843158</v>
      </c>
      <c r="V10" s="10">
        <v>9665286</v>
      </c>
      <c r="W10" s="10">
        <v>17374422</v>
      </c>
      <c r="X10" s="10">
        <v>4155458</v>
      </c>
      <c r="Y10" s="10">
        <v>6498162</v>
      </c>
      <c r="Z10" s="10">
        <v>16537712</v>
      </c>
      <c r="AA10" s="10">
        <v>32754305</v>
      </c>
      <c r="AB10" s="10">
        <f>111016+172047+10314171</f>
        <v>10597234</v>
      </c>
      <c r="AC10" s="10">
        <f>187544+379219+18214848</f>
        <v>18781611</v>
      </c>
      <c r="AD10" s="10">
        <v>616894</v>
      </c>
      <c r="AE10" s="10">
        <v>1092813</v>
      </c>
      <c r="AF10" s="10">
        <f>48965+12617+2037329</f>
        <v>2098911</v>
      </c>
      <c r="AG10" s="10">
        <f>56167+55159+3342513</f>
        <v>3453839</v>
      </c>
      <c r="AH10" s="10">
        <v>1507282</v>
      </c>
      <c r="AI10" s="10">
        <v>3079476</v>
      </c>
      <c r="AJ10" s="10">
        <v>1107773</v>
      </c>
      <c r="AK10" s="10">
        <v>1531934</v>
      </c>
      <c r="AL10" s="10">
        <v>1539077</v>
      </c>
      <c r="AM10" s="10">
        <v>2638923</v>
      </c>
      <c r="AN10" s="108">
        <v>23799481</v>
      </c>
      <c r="AO10" s="108">
        <v>39656675</v>
      </c>
      <c r="AP10" s="10">
        <v>177118</v>
      </c>
      <c r="AQ10" s="10">
        <v>320948</v>
      </c>
      <c r="AR10" s="10">
        <v>348549</v>
      </c>
      <c r="AS10" s="10">
        <v>672385</v>
      </c>
      <c r="AT10" s="10">
        <f>38034+168114+8096097</f>
        <v>8302245</v>
      </c>
      <c r="AU10" s="10">
        <f>40956+746046+13526704</f>
        <v>14313706</v>
      </c>
      <c r="AV10" s="10">
        <v>2748614</v>
      </c>
      <c r="AW10" s="10">
        <v>4478791</v>
      </c>
      <c r="AX10" s="10">
        <f>14320+51455+4055373</f>
        <v>4121148</v>
      </c>
      <c r="AY10" s="10">
        <f>43881+184353+7404635</f>
        <v>7632869</v>
      </c>
      <c r="AZ10" s="10">
        <v>7121957</v>
      </c>
      <c r="BA10" s="10">
        <v>13667850</v>
      </c>
      <c r="BB10" s="10">
        <v>4776965</v>
      </c>
      <c r="BC10" s="10">
        <v>8488553</v>
      </c>
      <c r="BD10" s="10">
        <v>10907381</v>
      </c>
      <c r="BE10" s="10">
        <v>16343001</v>
      </c>
      <c r="BF10" s="10">
        <v>8493592</v>
      </c>
      <c r="BG10" s="10">
        <v>16114685</v>
      </c>
      <c r="BH10" s="10">
        <f>778079+48594669+6012780</f>
        <v>55385528</v>
      </c>
      <c r="BI10" s="10">
        <f>1083044+80134128+14050810</f>
        <v>95267982</v>
      </c>
      <c r="BJ10" s="10">
        <f>315594+1114044+26107801</f>
        <v>27537439</v>
      </c>
      <c r="BK10" s="10">
        <f>676818+3152641+39732369</f>
        <v>43561828</v>
      </c>
      <c r="BL10" s="108">
        <v>31803662</v>
      </c>
      <c r="BM10" s="108">
        <v>52442923</v>
      </c>
      <c r="BN10" s="10">
        <f>5628+90663+3044969</f>
        <v>3141260</v>
      </c>
      <c r="BO10" s="10">
        <f>12558+326627+5198756</f>
        <v>5537941</v>
      </c>
      <c r="BP10" s="87">
        <f t="shared" si="0"/>
        <v>296010577.71000004</v>
      </c>
      <c r="BQ10" s="87">
        <f t="shared" si="1"/>
        <v>496567372.56</v>
      </c>
    </row>
    <row r="11" spans="1:69" x14ac:dyDescent="0.25">
      <c r="A11" s="2" t="s">
        <v>28</v>
      </c>
      <c r="B11" s="10">
        <v>-36735</v>
      </c>
      <c r="C11" s="10">
        <v>-61495</v>
      </c>
      <c r="D11" s="10">
        <v>158735</v>
      </c>
      <c r="E11" s="10">
        <v>273291</v>
      </c>
      <c r="F11" s="10">
        <v>-1306975</v>
      </c>
      <c r="G11" s="10">
        <v>-1260054</v>
      </c>
      <c r="H11" s="10">
        <v>-377520</v>
      </c>
      <c r="I11" s="10">
        <v>-512536</v>
      </c>
      <c r="J11" s="10">
        <v>106804</v>
      </c>
      <c r="K11" s="10">
        <v>334194</v>
      </c>
      <c r="L11" s="10">
        <f>-8115+99935-27762</f>
        <v>64058</v>
      </c>
      <c r="M11" s="10">
        <f>-11251+221371-60983</f>
        <v>149137</v>
      </c>
      <c r="N11" s="10">
        <v>-65411.88</v>
      </c>
      <c r="O11" s="10">
        <v>-115638.61</v>
      </c>
      <c r="P11" s="10">
        <v>40186</v>
      </c>
      <c r="Q11" s="10">
        <v>66652</v>
      </c>
      <c r="R11" s="10">
        <v>233475</v>
      </c>
      <c r="S11" s="10">
        <v>445275</v>
      </c>
      <c r="T11" s="10">
        <v>240510</v>
      </c>
      <c r="U11" s="10">
        <v>312038</v>
      </c>
      <c r="V11" s="10">
        <v>-1029797</v>
      </c>
      <c r="W11" s="10">
        <v>-1124546</v>
      </c>
      <c r="X11" s="10">
        <v>-12069</v>
      </c>
      <c r="Y11" s="10">
        <v>181999</v>
      </c>
      <c r="Z11" s="10">
        <v>1651409</v>
      </c>
      <c r="AA11" s="10">
        <v>2667635</v>
      </c>
      <c r="AB11" s="10">
        <f>21804-27937+720156</f>
        <v>714023</v>
      </c>
      <c r="AC11" s="10">
        <f>33594-177909+1376636</f>
        <v>1232321</v>
      </c>
      <c r="AD11" s="10">
        <v>80194</v>
      </c>
      <c r="AE11" s="10">
        <v>139380</v>
      </c>
      <c r="AF11" s="10">
        <f>9503-2449+289838</f>
        <v>296892</v>
      </c>
      <c r="AG11" s="10">
        <f>19287-17663+525487</f>
        <v>527111</v>
      </c>
      <c r="AH11" s="10">
        <v>-158448</v>
      </c>
      <c r="AI11" s="10">
        <v>-259218</v>
      </c>
      <c r="AJ11" s="10">
        <v>215832</v>
      </c>
      <c r="AK11" s="10">
        <v>364711</v>
      </c>
      <c r="AL11" s="10">
        <v>107034</v>
      </c>
      <c r="AM11" s="10">
        <v>168776</v>
      </c>
      <c r="AN11" s="108">
        <v>2159799</v>
      </c>
      <c r="AO11" s="108">
        <v>3899590</v>
      </c>
      <c r="AP11" s="10">
        <v>14706</v>
      </c>
      <c r="AQ11" s="10">
        <v>20452</v>
      </c>
      <c r="AR11" s="10">
        <v>61918</v>
      </c>
      <c r="AS11" s="10">
        <v>102287</v>
      </c>
      <c r="AT11" s="10">
        <f>-1065+89576-529598</f>
        <v>-441087</v>
      </c>
      <c r="AU11" s="10">
        <f>-14215+120248-493875</f>
        <v>-387842</v>
      </c>
      <c r="AV11" s="10">
        <v>-26824</v>
      </c>
      <c r="AW11" s="10">
        <v>-56057</v>
      </c>
      <c r="AX11" s="10">
        <f>3176-23641+229684</f>
        <v>209219</v>
      </c>
      <c r="AY11" s="10">
        <f>5810-38857+620197</f>
        <v>587150</v>
      </c>
      <c r="AZ11" s="10">
        <v>-1248496</v>
      </c>
      <c r="BA11" s="10">
        <v>-1263339</v>
      </c>
      <c r="BB11" s="10">
        <v>299794</v>
      </c>
      <c r="BC11" s="10">
        <v>529490</v>
      </c>
      <c r="BD11" s="10">
        <v>1895762</v>
      </c>
      <c r="BE11" s="10">
        <v>3021423</v>
      </c>
      <c r="BF11" s="10">
        <v>454799</v>
      </c>
      <c r="BG11" s="10">
        <v>782952</v>
      </c>
      <c r="BH11" s="10">
        <f>122488+4585916+1197489</f>
        <v>5905893</v>
      </c>
      <c r="BI11" s="10">
        <f>264558+9146044+2740738</f>
        <v>12151340</v>
      </c>
      <c r="BJ11" s="10">
        <f>48403+386168+1682476</f>
        <v>2117047</v>
      </c>
      <c r="BK11" s="10">
        <f>85156+549368+2990814</f>
        <v>3625338</v>
      </c>
      <c r="BL11" s="108">
        <v>2093265</v>
      </c>
      <c r="BM11" s="108">
        <v>4019315</v>
      </c>
      <c r="BN11" s="10">
        <f>-3894+7188-32491</f>
        <v>-29197</v>
      </c>
      <c r="BO11" s="10">
        <f>-8827-12280+199307</f>
        <v>178200</v>
      </c>
      <c r="BP11" s="87">
        <f t="shared" si="0"/>
        <v>14388794.120000001</v>
      </c>
      <c r="BQ11" s="87">
        <f t="shared" si="1"/>
        <v>30739331.390000001</v>
      </c>
    </row>
    <row r="12" spans="1:69" ht="30" x14ac:dyDescent="0.25">
      <c r="A12" s="2" t="s">
        <v>29</v>
      </c>
      <c r="B12" s="10">
        <v>492416</v>
      </c>
      <c r="C12" s="10">
        <v>786075</v>
      </c>
      <c r="D12" s="10">
        <v>1541067</v>
      </c>
      <c r="E12" s="10">
        <v>2963881</v>
      </c>
      <c r="F12" s="10">
        <v>1149515</v>
      </c>
      <c r="G12" s="10">
        <v>1628764</v>
      </c>
      <c r="H12" s="10">
        <v>5204311</v>
      </c>
      <c r="I12" s="10">
        <v>9393156</v>
      </c>
      <c r="J12" s="10">
        <v>1965876</v>
      </c>
      <c r="K12" s="10">
        <v>3368755</v>
      </c>
      <c r="L12" s="10">
        <f>17936+2571950+67093</f>
        <v>2656979</v>
      </c>
      <c r="M12" s="10">
        <f>32229+4770725+184022</f>
        <v>4986976</v>
      </c>
      <c r="N12" s="10">
        <v>648092.28</v>
      </c>
      <c r="O12" s="10">
        <v>1057068.58</v>
      </c>
      <c r="P12" s="10">
        <v>301228</v>
      </c>
      <c r="Q12" s="10">
        <v>561501</v>
      </c>
      <c r="R12" s="10">
        <v>1936496</v>
      </c>
      <c r="S12" s="10">
        <v>3625766</v>
      </c>
      <c r="T12" s="10">
        <v>1644417</v>
      </c>
      <c r="U12" s="10">
        <v>3061605</v>
      </c>
      <c r="V12" s="10">
        <v>3762402</v>
      </c>
      <c r="W12" s="10">
        <v>6663949</v>
      </c>
      <c r="X12" s="10">
        <v>773008</v>
      </c>
      <c r="Y12" s="10">
        <v>1801026</v>
      </c>
      <c r="Z12" s="10">
        <v>6470041</v>
      </c>
      <c r="AA12" s="10">
        <v>12094062</v>
      </c>
      <c r="AB12" s="10">
        <f>18490+9564+1672908</f>
        <v>1700962</v>
      </c>
      <c r="AC12" s="10">
        <f>51196+56865+3222005</f>
        <v>3330066</v>
      </c>
      <c r="AD12" s="10">
        <v>368976</v>
      </c>
      <c r="AE12" s="10">
        <v>729165</v>
      </c>
      <c r="AF12" s="10">
        <f>21797+35463+1133110</f>
        <v>1190370</v>
      </c>
      <c r="AG12" s="10">
        <f>37188+72833+2135378</f>
        <v>2245399</v>
      </c>
      <c r="AH12" s="10">
        <v>953210</v>
      </c>
      <c r="AI12" s="10">
        <v>1613088</v>
      </c>
      <c r="AJ12" s="10">
        <v>824666</v>
      </c>
      <c r="AK12" s="10">
        <v>1474172</v>
      </c>
      <c r="AL12" s="10">
        <v>1237495</v>
      </c>
      <c r="AM12" s="10">
        <v>2321680</v>
      </c>
      <c r="AN12" s="108">
        <v>9046748</v>
      </c>
      <c r="AO12" s="108">
        <v>16567544</v>
      </c>
      <c r="AP12" s="10">
        <v>226390</v>
      </c>
      <c r="AQ12" s="10">
        <v>431189</v>
      </c>
      <c r="AR12" s="10">
        <v>229846</v>
      </c>
      <c r="AS12" s="10">
        <v>436752</v>
      </c>
      <c r="AT12" s="10">
        <f>7175+200394+3432126</f>
        <v>3639695</v>
      </c>
      <c r="AU12" s="10">
        <f>31648+652822+6496589</f>
        <v>7181059</v>
      </c>
      <c r="AV12" s="10">
        <v>1817087</v>
      </c>
      <c r="AW12" s="10">
        <v>3263788</v>
      </c>
      <c r="AX12" s="10">
        <f>6629+14363+982083</f>
        <v>1003075</v>
      </c>
      <c r="AY12" s="10">
        <f>21187+83332+1927978</f>
        <v>2032497</v>
      </c>
      <c r="AZ12" s="10">
        <v>2466260</v>
      </c>
      <c r="BA12" s="10">
        <v>4375092</v>
      </c>
      <c r="BB12" s="10">
        <v>895575</v>
      </c>
      <c r="BC12" s="10">
        <v>1725908</v>
      </c>
      <c r="BD12" s="10">
        <v>3331279</v>
      </c>
      <c r="BE12" s="10">
        <v>6036045</v>
      </c>
      <c r="BF12" s="10">
        <v>4512664</v>
      </c>
      <c r="BG12" s="10">
        <v>7724308</v>
      </c>
      <c r="BH12" s="10">
        <f>151965+8779179+901835</f>
        <v>9832979</v>
      </c>
      <c r="BI12" s="10">
        <f>431723+24034905+3451063</f>
        <v>27917691</v>
      </c>
      <c r="BJ12" s="10">
        <f>99089+294405+5217721</f>
        <v>5611215</v>
      </c>
      <c r="BK12" s="10">
        <f>326151+2535636+12158476</f>
        <v>15020263</v>
      </c>
      <c r="BL12" s="108">
        <v>8619979</v>
      </c>
      <c r="BM12" s="108">
        <v>16898744</v>
      </c>
      <c r="BN12" s="10">
        <f>133+10336+640581</f>
        <v>651050</v>
      </c>
      <c r="BO12" s="10">
        <f>1915+33126+1075976</f>
        <v>1111017</v>
      </c>
      <c r="BP12" s="87">
        <f t="shared" si="0"/>
        <v>86705369.280000001</v>
      </c>
      <c r="BQ12" s="87">
        <f t="shared" si="1"/>
        <v>174428051.57999998</v>
      </c>
    </row>
    <row r="13" spans="1:69" x14ac:dyDescent="0.25">
      <c r="A13" s="2" t="s">
        <v>32</v>
      </c>
      <c r="B13" s="10">
        <f>B14-B12-B11-B10</f>
        <v>34</v>
      </c>
      <c r="C13" s="10">
        <f t="shared" ref="C13:K13" si="16">C14-C12-C11-C10</f>
        <v>63</v>
      </c>
      <c r="D13" s="10">
        <f t="shared" si="16"/>
        <v>0</v>
      </c>
      <c r="E13" s="10">
        <f t="shared" si="16"/>
        <v>0</v>
      </c>
      <c r="F13" s="10">
        <f t="shared" si="16"/>
        <v>3937349</v>
      </c>
      <c r="G13" s="10">
        <f t="shared" si="16"/>
        <v>3969668</v>
      </c>
      <c r="H13" s="10">
        <f t="shared" si="16"/>
        <v>6460</v>
      </c>
      <c r="I13" s="10">
        <f t="shared" si="16"/>
        <v>11098</v>
      </c>
      <c r="J13" s="10">
        <f t="shared" si="16"/>
        <v>3025</v>
      </c>
      <c r="K13" s="10">
        <f t="shared" si="16"/>
        <v>-9515</v>
      </c>
      <c r="L13" s="10">
        <f t="shared" ref="L13:BN13" si="17">L14-L12-L11-L10</f>
        <v>0</v>
      </c>
      <c r="M13" s="10">
        <f t="shared" si="17"/>
        <v>0</v>
      </c>
      <c r="N13" s="10">
        <f t="shared" si="17"/>
        <v>327158.87999999989</v>
      </c>
      <c r="O13" s="10">
        <f t="shared" si="17"/>
        <v>-323439.46999999974</v>
      </c>
      <c r="P13" s="10">
        <f t="shared" si="17"/>
        <v>-6916</v>
      </c>
      <c r="Q13" s="10">
        <f t="shared" ref="Q13" si="18">Q14-Q12-Q11-Q10</f>
        <v>-35958</v>
      </c>
      <c r="R13" s="10">
        <f t="shared" si="17"/>
        <v>0</v>
      </c>
      <c r="S13" s="10">
        <f t="shared" si="17"/>
        <v>0</v>
      </c>
      <c r="T13" s="10">
        <f t="shared" si="17"/>
        <v>0</v>
      </c>
      <c r="U13" s="10">
        <f t="shared" si="17"/>
        <v>1</v>
      </c>
      <c r="V13" s="10">
        <f t="shared" si="17"/>
        <v>-1</v>
      </c>
      <c r="W13" s="10">
        <f t="shared" si="17"/>
        <v>0</v>
      </c>
      <c r="X13" s="10">
        <f t="shared" si="17"/>
        <v>0</v>
      </c>
      <c r="Y13" s="10">
        <f t="shared" ref="Y13" si="19">Y14-Y12-Y11-Y10</f>
        <v>0</v>
      </c>
      <c r="Z13" s="10">
        <f t="shared" si="17"/>
        <v>0</v>
      </c>
      <c r="AA13" s="10">
        <f t="shared" ref="AA13" si="20">AA14-AA12-AA11-AA10</f>
        <v>0</v>
      </c>
      <c r="AB13" s="10">
        <f t="shared" si="17"/>
        <v>0</v>
      </c>
      <c r="AC13" s="10">
        <f t="shared" ref="AC13" si="21">AC14-AC12-AC11-AC10</f>
        <v>0</v>
      </c>
      <c r="AD13" s="10">
        <f t="shared" si="17"/>
        <v>301</v>
      </c>
      <c r="AE13" s="10">
        <f t="shared" ref="AE13" si="22">AE14-AE12-AE11-AE10</f>
        <v>535</v>
      </c>
      <c r="AF13" s="10">
        <f t="shared" si="17"/>
        <v>0</v>
      </c>
      <c r="AG13" s="10">
        <f t="shared" ref="AG13" si="23">AG14-AG12-AG11-AG10</f>
        <v>0</v>
      </c>
      <c r="AH13" s="10">
        <f t="shared" si="17"/>
        <v>255</v>
      </c>
      <c r="AI13" s="10">
        <f t="shared" ref="AI13" si="24">AI14-AI12-AI11-AI10</f>
        <v>-321</v>
      </c>
      <c r="AJ13" s="10">
        <f t="shared" si="17"/>
        <v>1</v>
      </c>
      <c r="AK13" s="10">
        <f t="shared" si="17"/>
        <v>0</v>
      </c>
      <c r="AL13" s="10">
        <f t="shared" si="17"/>
        <v>0</v>
      </c>
      <c r="AM13" s="10">
        <f t="shared" si="17"/>
        <v>0</v>
      </c>
      <c r="AN13" s="10">
        <f t="shared" si="17"/>
        <v>113457</v>
      </c>
      <c r="AO13" s="10">
        <f t="shared" ref="AO13" si="25">AO14-AO12-AO11-AO10</f>
        <v>409331</v>
      </c>
      <c r="AP13" s="10">
        <f t="shared" si="17"/>
        <v>975790</v>
      </c>
      <c r="AQ13" s="10">
        <f t="shared" ref="AQ13" si="26">AQ14-AQ12-AQ11-AQ10</f>
        <v>981883</v>
      </c>
      <c r="AR13" s="10">
        <f t="shared" si="17"/>
        <v>0</v>
      </c>
      <c r="AS13" s="10">
        <f t="shared" ref="AS13" si="27">AS14-AS12-AS11-AS10</f>
        <v>-1</v>
      </c>
      <c r="AT13" s="10">
        <f t="shared" si="17"/>
        <v>0</v>
      </c>
      <c r="AU13" s="10">
        <f t="shared" ref="AU13" si="28">AU14-AU12-AU11-AU10</f>
        <v>0</v>
      </c>
      <c r="AV13" s="10">
        <f t="shared" si="17"/>
        <v>0</v>
      </c>
      <c r="AW13" s="10">
        <f t="shared" ref="AW13" si="29">AW14-AW12-AW11-AW10</f>
        <v>201927</v>
      </c>
      <c r="AX13" s="10">
        <f t="shared" si="17"/>
        <v>0</v>
      </c>
      <c r="AY13" s="10">
        <f t="shared" si="17"/>
        <v>0</v>
      </c>
      <c r="AZ13" s="10">
        <f t="shared" si="17"/>
        <v>0</v>
      </c>
      <c r="BA13" s="10">
        <f t="shared" si="17"/>
        <v>0</v>
      </c>
      <c r="BB13" s="10">
        <f t="shared" si="17"/>
        <v>-1</v>
      </c>
      <c r="BC13" s="10">
        <f t="shared" ref="BC13" si="30">BC14-BC12-BC11-BC10</f>
        <v>0</v>
      </c>
      <c r="BD13" s="10">
        <f t="shared" si="17"/>
        <v>0</v>
      </c>
      <c r="BE13" s="10">
        <f t="shared" si="17"/>
        <v>0</v>
      </c>
      <c r="BF13" s="10">
        <f t="shared" si="17"/>
        <v>0</v>
      </c>
      <c r="BG13" s="10">
        <f t="shared" ref="BG13" si="31">BG14-BG12-BG11-BG10</f>
        <v>0</v>
      </c>
      <c r="BH13" s="10">
        <f t="shared" si="17"/>
        <v>964984</v>
      </c>
      <c r="BI13" s="10">
        <f t="shared" si="17"/>
        <v>1023945</v>
      </c>
      <c r="BJ13" s="10">
        <f t="shared" ref="BJ13:BK13" si="32">BJ14-BJ12-BJ11-BJ10</f>
        <v>0</v>
      </c>
      <c r="BK13" s="10">
        <f t="shared" si="32"/>
        <v>0</v>
      </c>
      <c r="BL13" s="10">
        <f t="shared" si="17"/>
        <v>49644</v>
      </c>
      <c r="BM13" s="10">
        <f t="shared" ref="BM13" si="33">BM14-BM12-BM11-BM10</f>
        <v>1708815</v>
      </c>
      <c r="BN13" s="10">
        <f t="shared" si="17"/>
        <v>868</v>
      </c>
      <c r="BO13" s="10">
        <f t="shared" ref="BO13" si="34">BO14-BO12-BO11-BO10</f>
        <v>1661</v>
      </c>
      <c r="BP13" s="87">
        <f t="shared" si="0"/>
        <v>6372408.8799999999</v>
      </c>
      <c r="BQ13" s="87">
        <f t="shared" si="1"/>
        <v>7939692.5300000003</v>
      </c>
    </row>
    <row r="14" spans="1:69" s="8" customFormat="1" x14ac:dyDescent="0.25">
      <c r="A14" s="3" t="s">
        <v>30</v>
      </c>
      <c r="B14" s="11">
        <v>669773</v>
      </c>
      <c r="C14" s="11">
        <v>1179809</v>
      </c>
      <c r="D14" s="11">
        <v>2598327</v>
      </c>
      <c r="E14" s="11">
        <v>4863435</v>
      </c>
      <c r="F14" s="11">
        <v>28135311</v>
      </c>
      <c r="G14" s="11">
        <v>28983615</v>
      </c>
      <c r="H14" s="11">
        <v>19575656</v>
      </c>
      <c r="I14" s="11">
        <v>36011434</v>
      </c>
      <c r="J14" s="11">
        <v>5110895</v>
      </c>
      <c r="K14" s="11">
        <v>9535191</v>
      </c>
      <c r="L14" s="11">
        <f>57660+8273829+100392</f>
        <v>8431881</v>
      </c>
      <c r="M14" s="11">
        <f>94345+15478437+373158</f>
        <v>15945940</v>
      </c>
      <c r="N14" s="11">
        <v>4347261.99</v>
      </c>
      <c r="O14" s="11">
        <v>7629957.0599999996</v>
      </c>
      <c r="P14" s="11">
        <v>716781</v>
      </c>
      <c r="Q14" s="11">
        <v>1355053</v>
      </c>
      <c r="R14" s="11">
        <v>5732021</v>
      </c>
      <c r="S14" s="11">
        <v>10816843</v>
      </c>
      <c r="T14" s="11">
        <v>5066739</v>
      </c>
      <c r="U14" s="11">
        <v>9216802</v>
      </c>
      <c r="V14" s="11">
        <v>12397890</v>
      </c>
      <c r="W14" s="11">
        <v>22913825</v>
      </c>
      <c r="X14" s="11">
        <v>4916397</v>
      </c>
      <c r="Y14" s="11">
        <v>8481187</v>
      </c>
      <c r="Z14" s="11">
        <v>24659162</v>
      </c>
      <c r="AA14" s="11">
        <v>47516002</v>
      </c>
      <c r="AB14" s="11">
        <f>151310+153674+12707235</f>
        <v>13012219</v>
      </c>
      <c r="AC14" s="11">
        <f>272334+258175+22813489</f>
        <v>23343998</v>
      </c>
      <c r="AD14" s="11">
        <v>1066365</v>
      </c>
      <c r="AE14" s="11">
        <v>1961893</v>
      </c>
      <c r="AF14" s="11">
        <f>80265+45631+3460277</f>
        <v>3586173</v>
      </c>
      <c r="AG14" s="11">
        <f>112642+110329+6003378</f>
        <v>6226349</v>
      </c>
      <c r="AH14" s="11">
        <v>2302299</v>
      </c>
      <c r="AI14" s="11">
        <v>4433025</v>
      </c>
      <c r="AJ14" s="11">
        <v>2148272</v>
      </c>
      <c r="AK14" s="11">
        <v>3370817</v>
      </c>
      <c r="AL14" s="11">
        <v>2883606</v>
      </c>
      <c r="AM14" s="11">
        <v>5129379</v>
      </c>
      <c r="AN14" s="11">
        <v>35119485</v>
      </c>
      <c r="AO14" s="11">
        <v>60533140</v>
      </c>
      <c r="AP14" s="11">
        <v>1394004</v>
      </c>
      <c r="AQ14" s="11">
        <v>1754472</v>
      </c>
      <c r="AR14" s="11">
        <v>640313</v>
      </c>
      <c r="AS14" s="11">
        <v>1211423</v>
      </c>
      <c r="AT14" s="11">
        <f>44144+458084+10998625</f>
        <v>11500853</v>
      </c>
      <c r="AU14" s="11">
        <f>58389+1519116+19529418</f>
        <v>21106923</v>
      </c>
      <c r="AV14" s="11">
        <v>4538877</v>
      </c>
      <c r="AW14" s="11">
        <v>7888449</v>
      </c>
      <c r="AX14" s="11">
        <f>24125+42177+5267140</f>
        <v>5333442</v>
      </c>
      <c r="AY14" s="11">
        <f>70878+228828+9952810</f>
        <v>10252516</v>
      </c>
      <c r="AZ14" s="11">
        <v>8339721</v>
      </c>
      <c r="BA14" s="11">
        <v>16779603</v>
      </c>
      <c r="BB14" s="11">
        <v>5972333</v>
      </c>
      <c r="BC14" s="11">
        <v>10743951</v>
      </c>
      <c r="BD14" s="11">
        <v>16134422</v>
      </c>
      <c r="BE14" s="11">
        <v>25400469</v>
      </c>
      <c r="BF14" s="11">
        <v>13461055</v>
      </c>
      <c r="BG14" s="11">
        <v>24621945</v>
      </c>
      <c r="BH14" s="11">
        <f>1069471+62780721+8239192</f>
        <v>72089384</v>
      </c>
      <c r="BI14" s="11">
        <f>1797299+114186195+20377464</f>
        <v>136360958</v>
      </c>
      <c r="BJ14" s="11">
        <f>463086+1794617+33007998</f>
        <v>35265701</v>
      </c>
      <c r="BK14" s="11">
        <f>1088125+6237645+54881659</f>
        <v>62207429</v>
      </c>
      <c r="BL14" s="11">
        <v>42566550</v>
      </c>
      <c r="BM14" s="11">
        <v>75069797</v>
      </c>
      <c r="BN14" s="11">
        <f>1867+108187+3653927</f>
        <v>3763981</v>
      </c>
      <c r="BO14" s="11">
        <f>5646+347473+6475700</f>
        <v>6828819</v>
      </c>
      <c r="BP14" s="80">
        <f t="shared" si="0"/>
        <v>403477149.99000001</v>
      </c>
      <c r="BQ14" s="80">
        <f t="shared" si="1"/>
        <v>709674448.05999994</v>
      </c>
    </row>
    <row r="15" spans="1:69" s="8" customFormat="1" x14ac:dyDescent="0.25">
      <c r="A15" s="3" t="s">
        <v>31</v>
      </c>
      <c r="B15" s="11">
        <f>B9-B14</f>
        <v>-240440</v>
      </c>
      <c r="C15" s="11">
        <f t="shared" ref="C15:K15" si="35">C9-C14</f>
        <v>-409781</v>
      </c>
      <c r="D15" s="11">
        <f t="shared" si="35"/>
        <v>-682160</v>
      </c>
      <c r="E15" s="11">
        <f t="shared" si="35"/>
        <v>-1305550</v>
      </c>
      <c r="F15" s="11">
        <f t="shared" si="35"/>
        <v>1753671</v>
      </c>
      <c r="G15" s="11">
        <f t="shared" si="35"/>
        <v>2402167</v>
      </c>
      <c r="H15" s="11">
        <f t="shared" si="35"/>
        <v>3366195</v>
      </c>
      <c r="I15" s="11">
        <f t="shared" si="35"/>
        <v>8129244</v>
      </c>
      <c r="J15" s="11">
        <f t="shared" si="35"/>
        <v>486659</v>
      </c>
      <c r="K15" s="11">
        <f t="shared" si="35"/>
        <v>1028069</v>
      </c>
      <c r="L15" s="11">
        <f t="shared" ref="L15:BN15" si="36">L9-L14</f>
        <v>1433694</v>
      </c>
      <c r="M15" s="11">
        <f t="shared" si="36"/>
        <v>3937305</v>
      </c>
      <c r="N15" s="11">
        <f t="shared" si="36"/>
        <v>-884091.37000000011</v>
      </c>
      <c r="O15" s="11">
        <f t="shared" si="36"/>
        <v>-1404248.04</v>
      </c>
      <c r="P15" s="11">
        <f t="shared" si="36"/>
        <v>-239119</v>
      </c>
      <c r="Q15" s="11">
        <f t="shared" ref="Q15" si="37">Q9-Q14</f>
        <v>-471101</v>
      </c>
      <c r="R15" s="11">
        <f t="shared" si="36"/>
        <v>207407</v>
      </c>
      <c r="S15" s="11">
        <f t="shared" si="36"/>
        <v>722893</v>
      </c>
      <c r="T15" s="11">
        <f t="shared" si="36"/>
        <v>-58565</v>
      </c>
      <c r="U15" s="11">
        <f t="shared" si="36"/>
        <v>218336</v>
      </c>
      <c r="V15" s="11">
        <f t="shared" si="36"/>
        <v>1795509</v>
      </c>
      <c r="W15" s="11">
        <f t="shared" si="36"/>
        <v>3532140</v>
      </c>
      <c r="X15" s="11">
        <f t="shared" si="36"/>
        <v>152943</v>
      </c>
      <c r="Y15" s="11">
        <f t="shared" ref="Y15" si="38">Y9-Y14</f>
        <v>-839598</v>
      </c>
      <c r="Z15" s="11">
        <f t="shared" si="36"/>
        <v>4174852</v>
      </c>
      <c r="AA15" s="11">
        <f t="shared" ref="AA15" si="39">AA9-AA14</f>
        <v>8614740</v>
      </c>
      <c r="AB15" s="11">
        <f t="shared" si="36"/>
        <v>1201613</v>
      </c>
      <c r="AC15" s="11">
        <f t="shared" ref="AC15" si="40">AC9-AC14</f>
        <v>2704667</v>
      </c>
      <c r="AD15" s="11">
        <f t="shared" si="36"/>
        <v>29207</v>
      </c>
      <c r="AE15" s="11">
        <f t="shared" ref="AE15" si="41">AE9-AE14</f>
        <v>115946</v>
      </c>
      <c r="AF15" s="11">
        <f t="shared" si="36"/>
        <v>-4658</v>
      </c>
      <c r="AG15" s="11">
        <f t="shared" ref="AG15" si="42">AG9-AG14</f>
        <v>840179</v>
      </c>
      <c r="AH15" s="11">
        <f t="shared" si="36"/>
        <v>171291</v>
      </c>
      <c r="AI15" s="11">
        <f t="shared" ref="AI15" si="43">AI9-AI14</f>
        <v>358122</v>
      </c>
      <c r="AJ15" s="11">
        <f t="shared" si="36"/>
        <v>-761653</v>
      </c>
      <c r="AK15" s="11">
        <f t="shared" si="36"/>
        <v>-645894</v>
      </c>
      <c r="AL15" s="11">
        <f t="shared" si="36"/>
        <v>225895</v>
      </c>
      <c r="AM15" s="11">
        <f t="shared" si="36"/>
        <v>565566</v>
      </c>
      <c r="AN15" s="11">
        <f t="shared" si="36"/>
        <v>3671467</v>
      </c>
      <c r="AO15" s="11">
        <f t="shared" ref="AO15" si="44">AO9-AO14</f>
        <v>6849287</v>
      </c>
      <c r="AP15" s="11">
        <f t="shared" si="36"/>
        <v>-1049055</v>
      </c>
      <c r="AQ15" s="11">
        <f t="shared" ref="AQ15" si="45">AQ9-AQ14</f>
        <v>-1164873</v>
      </c>
      <c r="AR15" s="11">
        <f t="shared" si="36"/>
        <v>-92056</v>
      </c>
      <c r="AS15" s="11">
        <f t="shared" ref="AS15" si="46">AS9-AS14</f>
        <v>-134098</v>
      </c>
      <c r="AT15" s="11">
        <f t="shared" si="36"/>
        <v>1270352</v>
      </c>
      <c r="AU15" s="11">
        <f t="shared" ref="AU15" si="47">AU9-AU14</f>
        <v>2150761</v>
      </c>
      <c r="AV15" s="11">
        <f t="shared" si="36"/>
        <v>-69449</v>
      </c>
      <c r="AW15" s="11">
        <f t="shared" ref="AW15" si="48">AW9-AW14</f>
        <v>39513</v>
      </c>
      <c r="AX15" s="11">
        <f t="shared" si="36"/>
        <v>831079</v>
      </c>
      <c r="AY15" s="11">
        <f t="shared" si="36"/>
        <v>2104748</v>
      </c>
      <c r="AZ15" s="11">
        <f t="shared" si="36"/>
        <v>1746725</v>
      </c>
      <c r="BA15" s="11">
        <f t="shared" si="36"/>
        <v>3210269</v>
      </c>
      <c r="BB15" s="11">
        <f t="shared" si="36"/>
        <v>1165257</v>
      </c>
      <c r="BC15" s="11">
        <f t="shared" ref="BC15" si="49">BC9-BC14</f>
        <v>3742138</v>
      </c>
      <c r="BD15" s="11">
        <f t="shared" si="36"/>
        <v>-674716</v>
      </c>
      <c r="BE15" s="11">
        <f t="shared" si="36"/>
        <v>1199465</v>
      </c>
      <c r="BF15" s="11">
        <f t="shared" si="36"/>
        <v>936467</v>
      </c>
      <c r="BG15" s="11">
        <f t="shared" ref="BG15" si="50">BG9-BG14</f>
        <v>3289111</v>
      </c>
      <c r="BH15" s="11">
        <f t="shared" si="36"/>
        <v>3888238</v>
      </c>
      <c r="BI15" s="11">
        <f t="shared" si="36"/>
        <v>5843595</v>
      </c>
      <c r="BJ15" s="11">
        <f t="shared" ref="BJ15:BK15" si="51">BJ9-BJ14</f>
        <v>-600542</v>
      </c>
      <c r="BK15" s="11">
        <f t="shared" si="51"/>
        <v>-127279</v>
      </c>
      <c r="BL15" s="11">
        <f t="shared" si="36"/>
        <v>-4377530</v>
      </c>
      <c r="BM15" s="11">
        <f t="shared" ref="BM15" si="52">BM9-BM14</f>
        <v>1056948</v>
      </c>
      <c r="BN15" s="11">
        <f t="shared" si="36"/>
        <v>408705</v>
      </c>
      <c r="BO15" s="11">
        <f t="shared" ref="BO15" si="53">BO9-BO14</f>
        <v>830279</v>
      </c>
      <c r="BP15" s="80">
        <f t="shared" si="0"/>
        <v>19183191.629999999</v>
      </c>
      <c r="BQ15" s="80">
        <f t="shared" si="1"/>
        <v>56983065.960000001</v>
      </c>
    </row>
  </sheetData>
  <mergeCells count="34">
    <mergeCell ref="BH3:BI3"/>
    <mergeCell ref="BP3:BQ3"/>
    <mergeCell ref="BN3:BO3"/>
    <mergeCell ref="BL3:BM3"/>
    <mergeCell ref="BJ3:BK3"/>
    <mergeCell ref="AR3:AS3"/>
    <mergeCell ref="AN3:AO3"/>
    <mergeCell ref="AL3:AM3"/>
    <mergeCell ref="AJ3:AK3"/>
    <mergeCell ref="AP3:AQ3"/>
    <mergeCell ref="BF3:BG3"/>
    <mergeCell ref="BD3:BE3"/>
    <mergeCell ref="BB3:BC3"/>
    <mergeCell ref="AZ3:BA3"/>
    <mergeCell ref="AT3:AU3"/>
    <mergeCell ref="AV3:AW3"/>
    <mergeCell ref="AX3:AY3"/>
    <mergeCell ref="N3:O3"/>
    <mergeCell ref="P3:Q3"/>
    <mergeCell ref="L3:M3"/>
    <mergeCell ref="T3:U3"/>
    <mergeCell ref="V3:W3"/>
    <mergeCell ref="AH3:AI3"/>
    <mergeCell ref="AD3:AE3"/>
    <mergeCell ref="AB3:AC3"/>
    <mergeCell ref="Z3:AA3"/>
    <mergeCell ref="R3:S3"/>
    <mergeCell ref="X3:Y3"/>
    <mergeCell ref="AF3:AG3"/>
    <mergeCell ref="H3:I3"/>
    <mergeCell ref="F3:G3"/>
    <mergeCell ref="D3:E3"/>
    <mergeCell ref="B3:C3"/>
    <mergeCell ref="J3:K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8.85546875" customWidth="1"/>
    <col min="2" max="34" width="16" customWidth="1"/>
    <col min="35" max="35" width="16" style="4" customWidth="1"/>
  </cols>
  <sheetData>
    <row r="1" spans="1:35" ht="18.75" x14ac:dyDescent="0.3">
      <c r="A1" s="13" t="s">
        <v>302</v>
      </c>
    </row>
    <row r="2" spans="1:35" x14ac:dyDescent="0.25">
      <c r="A2" s="12" t="s">
        <v>34</v>
      </c>
    </row>
    <row r="3" spans="1:35" x14ac:dyDescent="0.25">
      <c r="A3" s="1" t="s">
        <v>0</v>
      </c>
      <c r="B3" s="94" t="s">
        <v>1</v>
      </c>
      <c r="C3" s="94" t="s">
        <v>285</v>
      </c>
      <c r="D3" s="94" t="s">
        <v>2</v>
      </c>
      <c r="E3" s="94" t="s">
        <v>3</v>
      </c>
      <c r="F3" s="94" t="s">
        <v>4</v>
      </c>
      <c r="G3" s="94" t="s">
        <v>286</v>
      </c>
      <c r="H3" s="94" t="s">
        <v>6</v>
      </c>
      <c r="I3" s="94" t="s">
        <v>5</v>
      </c>
      <c r="J3" s="94" t="s">
        <v>7</v>
      </c>
      <c r="K3" s="94" t="s">
        <v>287</v>
      </c>
      <c r="L3" s="94" t="s">
        <v>8</v>
      </c>
      <c r="M3" s="94" t="s">
        <v>288</v>
      </c>
      <c r="N3" s="94" t="s">
        <v>9</v>
      </c>
      <c r="O3" s="94" t="s">
        <v>10</v>
      </c>
      <c r="P3" s="94" t="s">
        <v>289</v>
      </c>
      <c r="Q3" s="94" t="s">
        <v>11</v>
      </c>
      <c r="R3" s="94" t="s">
        <v>12</v>
      </c>
      <c r="S3" s="94" t="s">
        <v>290</v>
      </c>
      <c r="T3" s="94" t="s">
        <v>299</v>
      </c>
      <c r="U3" s="94" t="s">
        <v>13</v>
      </c>
      <c r="V3" s="94" t="s">
        <v>291</v>
      </c>
      <c r="W3" s="94" t="s">
        <v>292</v>
      </c>
      <c r="X3" s="94" t="s">
        <v>307</v>
      </c>
      <c r="Y3" s="94" t="s">
        <v>293</v>
      </c>
      <c r="Z3" s="94" t="s">
        <v>14</v>
      </c>
      <c r="AA3" s="94" t="s">
        <v>15</v>
      </c>
      <c r="AB3" s="94" t="s">
        <v>16</v>
      </c>
      <c r="AC3" s="94" t="s">
        <v>17</v>
      </c>
      <c r="AD3" s="94" t="s">
        <v>18</v>
      </c>
      <c r="AE3" s="113" t="s">
        <v>294</v>
      </c>
      <c r="AF3" s="113" t="s">
        <v>295</v>
      </c>
      <c r="AG3" s="113" t="s">
        <v>19</v>
      </c>
      <c r="AH3" s="94" t="s">
        <v>20</v>
      </c>
      <c r="AI3" s="112" t="s">
        <v>21</v>
      </c>
    </row>
    <row r="4" spans="1:35" x14ac:dyDescent="0.25">
      <c r="A4" s="14" t="s">
        <v>43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89"/>
    </row>
    <row r="5" spans="1:35" x14ac:dyDescent="0.25">
      <c r="A5" s="15" t="s">
        <v>44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90">
        <f t="shared" ref="AI5:AI12" si="0">SUM(B5:AH5)</f>
        <v>0</v>
      </c>
    </row>
    <row r="6" spans="1:35" x14ac:dyDescent="0.25">
      <c r="A6" s="15" t="s">
        <v>45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90">
        <f t="shared" si="0"/>
        <v>0</v>
      </c>
    </row>
    <row r="7" spans="1:35" x14ac:dyDescent="0.25">
      <c r="A7" s="15" t="s">
        <v>46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108"/>
      <c r="U7" s="108">
        <v>232444</v>
      </c>
      <c r="V7" s="108"/>
      <c r="W7" s="108"/>
      <c r="X7" s="36"/>
      <c r="Y7" s="36"/>
      <c r="Z7" s="36"/>
      <c r="AA7" s="36"/>
      <c r="AB7" s="36"/>
      <c r="AC7" s="36"/>
      <c r="AD7" s="36"/>
      <c r="AE7" s="36">
        <v>2600449</v>
      </c>
      <c r="AF7" s="36"/>
      <c r="AG7" s="36">
        <v>1237713</v>
      </c>
      <c r="AH7" s="36"/>
      <c r="AI7" s="90">
        <f t="shared" si="0"/>
        <v>4070606</v>
      </c>
    </row>
    <row r="8" spans="1:35" x14ac:dyDescent="0.25">
      <c r="A8" s="15" t="s">
        <v>47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108"/>
      <c r="U8" s="108"/>
      <c r="V8" s="108"/>
      <c r="W8" s="108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90">
        <f t="shared" si="0"/>
        <v>0</v>
      </c>
    </row>
    <row r="9" spans="1:35" x14ac:dyDescent="0.25">
      <c r="A9" s="15" t="s">
        <v>48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108"/>
      <c r="U9" s="108"/>
      <c r="V9" s="108"/>
      <c r="W9" s="108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90">
        <f t="shared" si="0"/>
        <v>0</v>
      </c>
    </row>
    <row r="10" spans="1:35" x14ac:dyDescent="0.25">
      <c r="A10" s="15" t="s">
        <v>49</v>
      </c>
      <c r="B10" s="36"/>
      <c r="C10" s="36"/>
      <c r="D10" s="36">
        <v>146796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108"/>
      <c r="U10" s="108"/>
      <c r="V10" s="108"/>
      <c r="W10" s="108"/>
      <c r="X10" s="36"/>
      <c r="Y10" s="36"/>
      <c r="Z10" s="36"/>
      <c r="AA10" s="36"/>
      <c r="AB10" s="36"/>
      <c r="AC10" s="36"/>
      <c r="AD10" s="36"/>
      <c r="AE10" s="36">
        <v>531690</v>
      </c>
      <c r="AF10" s="36">
        <v>1372484</v>
      </c>
      <c r="AG10" s="36">
        <v>473932</v>
      </c>
      <c r="AH10" s="36"/>
      <c r="AI10" s="90">
        <f t="shared" si="0"/>
        <v>2524902</v>
      </c>
    </row>
    <row r="11" spans="1:35" x14ac:dyDescent="0.25">
      <c r="A11" s="15" t="s">
        <v>50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108">
        <v>44987</v>
      </c>
      <c r="S11" s="36"/>
      <c r="T11" s="108"/>
      <c r="U11" s="108">
        <v>135560</v>
      </c>
      <c r="V11" s="108"/>
      <c r="W11" s="108"/>
      <c r="X11" s="36"/>
      <c r="Y11" s="36"/>
      <c r="Z11" s="36"/>
      <c r="AA11" s="36"/>
      <c r="AB11" s="36"/>
      <c r="AC11" s="36"/>
      <c r="AD11" s="36"/>
      <c r="AE11" s="36"/>
      <c r="AF11" s="36">
        <v>64299</v>
      </c>
      <c r="AG11" s="36">
        <v>120886</v>
      </c>
      <c r="AH11" s="36"/>
      <c r="AI11" s="90">
        <f t="shared" si="0"/>
        <v>365732</v>
      </c>
    </row>
    <row r="12" spans="1:35" s="4" customFormat="1" x14ac:dyDescent="0.25">
      <c r="A12" s="16" t="s">
        <v>42</v>
      </c>
      <c r="B12" s="37">
        <f>SUM(B5:B11)</f>
        <v>0</v>
      </c>
      <c r="C12" s="37">
        <f t="shared" ref="C12:AH12" si="1">SUM(C5:C11)</f>
        <v>0</v>
      </c>
      <c r="D12" s="37">
        <f t="shared" si="1"/>
        <v>146796</v>
      </c>
      <c r="E12" s="37">
        <f t="shared" si="1"/>
        <v>0</v>
      </c>
      <c r="F12" s="37">
        <f t="shared" si="1"/>
        <v>0</v>
      </c>
      <c r="G12" s="37">
        <f t="shared" si="1"/>
        <v>0</v>
      </c>
      <c r="H12" s="37">
        <f t="shared" si="1"/>
        <v>0</v>
      </c>
      <c r="I12" s="37">
        <f t="shared" si="1"/>
        <v>0</v>
      </c>
      <c r="J12" s="37">
        <f t="shared" si="1"/>
        <v>0</v>
      </c>
      <c r="K12" s="37">
        <f t="shared" si="1"/>
        <v>0</v>
      </c>
      <c r="L12" s="37">
        <f t="shared" si="1"/>
        <v>0</v>
      </c>
      <c r="M12" s="37">
        <f t="shared" si="1"/>
        <v>0</v>
      </c>
      <c r="N12" s="37">
        <f t="shared" si="1"/>
        <v>0</v>
      </c>
      <c r="O12" s="37">
        <f t="shared" si="1"/>
        <v>0</v>
      </c>
      <c r="P12" s="37">
        <f t="shared" si="1"/>
        <v>0</v>
      </c>
      <c r="Q12" s="37">
        <f t="shared" si="1"/>
        <v>0</v>
      </c>
      <c r="R12" s="37">
        <f t="shared" si="1"/>
        <v>44987</v>
      </c>
      <c r="S12" s="37">
        <f t="shared" si="1"/>
        <v>0</v>
      </c>
      <c r="T12" s="37">
        <f t="shared" si="1"/>
        <v>0</v>
      </c>
      <c r="U12" s="37">
        <f t="shared" si="1"/>
        <v>368004</v>
      </c>
      <c r="V12" s="37">
        <f t="shared" si="1"/>
        <v>0</v>
      </c>
      <c r="W12" s="37">
        <f t="shared" si="1"/>
        <v>0</v>
      </c>
      <c r="X12" s="37">
        <f t="shared" si="1"/>
        <v>0</v>
      </c>
      <c r="Y12" s="37">
        <f t="shared" si="1"/>
        <v>0</v>
      </c>
      <c r="Z12" s="37">
        <f t="shared" si="1"/>
        <v>0</v>
      </c>
      <c r="AA12" s="37">
        <f t="shared" si="1"/>
        <v>0</v>
      </c>
      <c r="AB12" s="37">
        <f t="shared" si="1"/>
        <v>0</v>
      </c>
      <c r="AC12" s="37">
        <f t="shared" si="1"/>
        <v>0</v>
      </c>
      <c r="AD12" s="37">
        <f t="shared" si="1"/>
        <v>0</v>
      </c>
      <c r="AE12" s="37">
        <f t="shared" si="1"/>
        <v>3132139</v>
      </c>
      <c r="AF12" s="37">
        <f>SUM(AF5:AF11)</f>
        <v>1436783</v>
      </c>
      <c r="AG12" s="37">
        <f t="shared" si="1"/>
        <v>1832531</v>
      </c>
      <c r="AH12" s="37">
        <f t="shared" si="1"/>
        <v>0</v>
      </c>
      <c r="AI12" s="89">
        <f t="shared" si="0"/>
        <v>6961240</v>
      </c>
    </row>
    <row r="13" spans="1:35" x14ac:dyDescent="0.25">
      <c r="A13" s="14" t="s">
        <v>51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89"/>
    </row>
    <row r="14" spans="1:35" x14ac:dyDescent="0.25">
      <c r="A14" s="15" t="s">
        <v>52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108"/>
      <c r="U14" s="108">
        <v>71330</v>
      </c>
      <c r="V14" s="108"/>
      <c r="W14" s="108"/>
      <c r="X14" s="36"/>
      <c r="Y14" s="36"/>
      <c r="Z14" s="36"/>
      <c r="AA14" s="36"/>
      <c r="AB14" s="36"/>
      <c r="AC14" s="36"/>
      <c r="AD14" s="36"/>
      <c r="AE14" s="36">
        <v>285183</v>
      </c>
      <c r="AF14" s="36">
        <v>180500</v>
      </c>
      <c r="AG14" s="36">
        <v>473932</v>
      </c>
      <c r="AH14" s="36"/>
      <c r="AI14" s="90">
        <f t="shared" ref="AI14:AI19" si="2">SUM(B14:AH14)</f>
        <v>1010945</v>
      </c>
    </row>
    <row r="15" spans="1:35" x14ac:dyDescent="0.25">
      <c r="A15" s="15" t="s">
        <v>53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108"/>
      <c r="U15" s="108"/>
      <c r="V15" s="108"/>
      <c r="W15" s="108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90">
        <f t="shared" si="2"/>
        <v>0</v>
      </c>
    </row>
    <row r="16" spans="1:35" x14ac:dyDescent="0.25">
      <c r="A16" s="15" t="s">
        <v>54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108"/>
      <c r="U16" s="108"/>
      <c r="V16" s="108"/>
      <c r="W16" s="108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90">
        <f t="shared" si="2"/>
        <v>0</v>
      </c>
    </row>
    <row r="17" spans="1:35" x14ac:dyDescent="0.25">
      <c r="A17" s="15" t="s">
        <v>55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108"/>
      <c r="U17" s="108">
        <v>296035</v>
      </c>
      <c r="V17" s="108"/>
      <c r="W17" s="108"/>
      <c r="X17" s="36"/>
      <c r="Y17" s="36"/>
      <c r="Z17" s="36"/>
      <c r="AA17" s="36"/>
      <c r="AB17" s="36"/>
      <c r="AC17" s="36"/>
      <c r="AD17" s="36"/>
      <c r="AE17" s="36"/>
      <c r="AF17" s="36">
        <v>147411</v>
      </c>
      <c r="AG17" s="36">
        <v>170645</v>
      </c>
      <c r="AH17" s="36"/>
      <c r="AI17" s="90">
        <f t="shared" si="2"/>
        <v>614091</v>
      </c>
    </row>
    <row r="18" spans="1:35" x14ac:dyDescent="0.25">
      <c r="A18" s="15" t="s">
        <v>56</v>
      </c>
      <c r="B18" s="36"/>
      <c r="C18" s="36"/>
      <c r="D18" s="36">
        <v>146796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108">
        <v>44987</v>
      </c>
      <c r="S18" s="36"/>
      <c r="T18" s="108"/>
      <c r="U18" s="108">
        <v>639</v>
      </c>
      <c r="V18" s="108"/>
      <c r="W18" s="108"/>
      <c r="X18" s="36"/>
      <c r="Y18" s="36"/>
      <c r="Z18" s="36"/>
      <c r="AA18" s="36"/>
      <c r="AB18" s="36"/>
      <c r="AC18" s="36"/>
      <c r="AD18" s="36"/>
      <c r="AE18" s="36">
        <v>2846956</v>
      </c>
      <c r="AF18" s="36">
        <v>1108872</v>
      </c>
      <c r="AG18" s="36">
        <v>1187954</v>
      </c>
      <c r="AH18" s="36"/>
      <c r="AI18" s="90">
        <f t="shared" si="2"/>
        <v>5336204</v>
      </c>
    </row>
    <row r="19" spans="1:35" s="4" customFormat="1" x14ac:dyDescent="0.25">
      <c r="A19" s="16" t="s">
        <v>42</v>
      </c>
      <c r="B19" s="37">
        <f>SUM(B14:B18)</f>
        <v>0</v>
      </c>
      <c r="C19" s="37">
        <f t="shared" ref="C19:AH19" si="3">SUM(C14:C18)</f>
        <v>0</v>
      </c>
      <c r="D19" s="37">
        <f t="shared" si="3"/>
        <v>146796</v>
      </c>
      <c r="E19" s="37">
        <f t="shared" si="3"/>
        <v>0</v>
      </c>
      <c r="F19" s="37">
        <f t="shared" si="3"/>
        <v>0</v>
      </c>
      <c r="G19" s="37">
        <f t="shared" si="3"/>
        <v>0</v>
      </c>
      <c r="H19" s="37">
        <f t="shared" si="3"/>
        <v>0</v>
      </c>
      <c r="I19" s="37">
        <f t="shared" si="3"/>
        <v>0</v>
      </c>
      <c r="J19" s="37">
        <f t="shared" si="3"/>
        <v>0</v>
      </c>
      <c r="K19" s="37">
        <f t="shared" si="3"/>
        <v>0</v>
      </c>
      <c r="L19" s="37">
        <f t="shared" si="3"/>
        <v>0</v>
      </c>
      <c r="M19" s="37">
        <f t="shared" si="3"/>
        <v>0</v>
      </c>
      <c r="N19" s="37">
        <f t="shared" si="3"/>
        <v>0</v>
      </c>
      <c r="O19" s="37">
        <f t="shared" si="3"/>
        <v>0</v>
      </c>
      <c r="P19" s="37">
        <f t="shared" si="3"/>
        <v>0</v>
      </c>
      <c r="Q19" s="37">
        <f t="shared" si="3"/>
        <v>0</v>
      </c>
      <c r="R19" s="37">
        <f t="shared" si="3"/>
        <v>44987</v>
      </c>
      <c r="S19" s="37">
        <f t="shared" si="3"/>
        <v>0</v>
      </c>
      <c r="T19" s="37">
        <f t="shared" si="3"/>
        <v>0</v>
      </c>
      <c r="U19" s="37">
        <f t="shared" si="3"/>
        <v>368004</v>
      </c>
      <c r="V19" s="37">
        <f t="shared" si="3"/>
        <v>0</v>
      </c>
      <c r="W19" s="37">
        <f t="shared" si="3"/>
        <v>0</v>
      </c>
      <c r="X19" s="37">
        <f t="shared" si="3"/>
        <v>0</v>
      </c>
      <c r="Y19" s="37">
        <f t="shared" si="3"/>
        <v>0</v>
      </c>
      <c r="Z19" s="37">
        <f t="shared" si="3"/>
        <v>0</v>
      </c>
      <c r="AA19" s="37">
        <f t="shared" si="3"/>
        <v>0</v>
      </c>
      <c r="AB19" s="37">
        <f t="shared" si="3"/>
        <v>0</v>
      </c>
      <c r="AC19" s="37">
        <f t="shared" si="3"/>
        <v>0</v>
      </c>
      <c r="AD19" s="37">
        <f t="shared" si="3"/>
        <v>0</v>
      </c>
      <c r="AE19" s="37">
        <f t="shared" si="3"/>
        <v>3132139</v>
      </c>
      <c r="AF19" s="37">
        <f t="shared" si="3"/>
        <v>1436783</v>
      </c>
      <c r="AG19" s="37">
        <f t="shared" si="3"/>
        <v>1832531</v>
      </c>
      <c r="AH19" s="37">
        <f t="shared" si="3"/>
        <v>0</v>
      </c>
      <c r="AI19" s="89">
        <f t="shared" si="2"/>
        <v>6961240</v>
      </c>
    </row>
    <row r="20" spans="1:35" x14ac:dyDescent="0.25">
      <c r="A20" s="14" t="s">
        <v>57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89"/>
    </row>
    <row r="21" spans="1:35" x14ac:dyDescent="0.25">
      <c r="A21" s="15" t="s">
        <v>58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90">
        <f t="shared" ref="AI21:AI28" si="4">SUM(B21:AH21)</f>
        <v>0</v>
      </c>
    </row>
    <row r="22" spans="1:35" x14ac:dyDescent="0.25">
      <c r="A22" s="15" t="s">
        <v>46</v>
      </c>
      <c r="B22" s="36"/>
      <c r="C22" s="36"/>
      <c r="D22" s="36">
        <v>146796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108">
        <v>44987</v>
      </c>
      <c r="S22" s="36"/>
      <c r="T22" s="108"/>
      <c r="U22" s="108">
        <v>77701</v>
      </c>
      <c r="V22" s="108"/>
      <c r="W22" s="108"/>
      <c r="X22" s="36"/>
      <c r="Y22" s="36"/>
      <c r="Z22" s="36"/>
      <c r="AA22" s="36"/>
      <c r="AB22" s="36"/>
      <c r="AC22" s="36"/>
      <c r="AD22" s="36"/>
      <c r="AE22" s="36">
        <v>3132139</v>
      </c>
      <c r="AF22" s="36">
        <v>1294223</v>
      </c>
      <c r="AG22" s="36">
        <v>1658993</v>
      </c>
      <c r="AH22" s="36"/>
      <c r="AI22" s="90">
        <f t="shared" si="4"/>
        <v>6354839</v>
      </c>
    </row>
    <row r="23" spans="1:35" x14ac:dyDescent="0.25">
      <c r="A23" s="15" t="s">
        <v>47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90">
        <f t="shared" si="4"/>
        <v>0</v>
      </c>
    </row>
    <row r="24" spans="1:35" x14ac:dyDescent="0.25">
      <c r="A24" s="15" t="s">
        <v>59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90">
        <f t="shared" si="4"/>
        <v>0</v>
      </c>
    </row>
    <row r="25" spans="1:35" x14ac:dyDescent="0.25">
      <c r="A25" s="15" t="s">
        <v>46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>
        <v>290303</v>
      </c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>
        <v>173538</v>
      </c>
      <c r="AH25" s="36"/>
      <c r="AI25" s="90">
        <f t="shared" si="4"/>
        <v>463841</v>
      </c>
    </row>
    <row r="26" spans="1:35" x14ac:dyDescent="0.25">
      <c r="A26" s="15" t="s">
        <v>47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90">
        <f t="shared" si="4"/>
        <v>0</v>
      </c>
    </row>
    <row r="27" spans="1:35" x14ac:dyDescent="0.25">
      <c r="A27" s="15" t="s">
        <v>60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>
        <v>142560</v>
      </c>
      <c r="AG27" s="36"/>
      <c r="AH27" s="36"/>
      <c r="AI27" s="90">
        <f t="shared" si="4"/>
        <v>142560</v>
      </c>
    </row>
    <row r="28" spans="1:35" s="4" customFormat="1" x14ac:dyDescent="0.25">
      <c r="A28" s="16" t="s">
        <v>42</v>
      </c>
      <c r="B28" s="37">
        <f>SUM(B21:B27)</f>
        <v>0</v>
      </c>
      <c r="C28" s="37">
        <f t="shared" ref="C28:AH28" si="5">SUM(C21:C27)</f>
        <v>0</v>
      </c>
      <c r="D28" s="37">
        <f t="shared" si="5"/>
        <v>146796</v>
      </c>
      <c r="E28" s="37">
        <f t="shared" si="5"/>
        <v>0</v>
      </c>
      <c r="F28" s="37">
        <f t="shared" si="5"/>
        <v>0</v>
      </c>
      <c r="G28" s="37">
        <f t="shared" si="5"/>
        <v>0</v>
      </c>
      <c r="H28" s="37">
        <f t="shared" si="5"/>
        <v>0</v>
      </c>
      <c r="I28" s="37">
        <f t="shared" si="5"/>
        <v>0</v>
      </c>
      <c r="J28" s="37">
        <f t="shared" si="5"/>
        <v>0</v>
      </c>
      <c r="K28" s="37">
        <f t="shared" si="5"/>
        <v>0</v>
      </c>
      <c r="L28" s="37">
        <f t="shared" si="5"/>
        <v>0</v>
      </c>
      <c r="M28" s="37">
        <f t="shared" si="5"/>
        <v>0</v>
      </c>
      <c r="N28" s="37">
        <f t="shared" si="5"/>
        <v>0</v>
      </c>
      <c r="O28" s="37">
        <f t="shared" si="5"/>
        <v>0</v>
      </c>
      <c r="P28" s="37">
        <f t="shared" si="5"/>
        <v>0</v>
      </c>
      <c r="Q28" s="37">
        <f t="shared" si="5"/>
        <v>0</v>
      </c>
      <c r="R28" s="37">
        <f t="shared" si="5"/>
        <v>44987</v>
      </c>
      <c r="S28" s="37">
        <f t="shared" si="5"/>
        <v>0</v>
      </c>
      <c r="T28" s="37">
        <f t="shared" si="5"/>
        <v>0</v>
      </c>
      <c r="U28" s="37">
        <f t="shared" si="5"/>
        <v>368004</v>
      </c>
      <c r="V28" s="37">
        <f t="shared" si="5"/>
        <v>0</v>
      </c>
      <c r="W28" s="37">
        <f t="shared" si="5"/>
        <v>0</v>
      </c>
      <c r="X28" s="37">
        <f t="shared" si="5"/>
        <v>0</v>
      </c>
      <c r="Y28" s="37">
        <f t="shared" si="5"/>
        <v>0</v>
      </c>
      <c r="Z28" s="37">
        <f t="shared" si="5"/>
        <v>0</v>
      </c>
      <c r="AA28" s="37">
        <f t="shared" si="5"/>
        <v>0</v>
      </c>
      <c r="AB28" s="37">
        <f t="shared" si="5"/>
        <v>0</v>
      </c>
      <c r="AC28" s="37">
        <f t="shared" si="5"/>
        <v>0</v>
      </c>
      <c r="AD28" s="37">
        <f t="shared" si="5"/>
        <v>0</v>
      </c>
      <c r="AE28" s="37">
        <f t="shared" si="5"/>
        <v>3132139</v>
      </c>
      <c r="AF28" s="37">
        <f t="shared" si="5"/>
        <v>1436783</v>
      </c>
      <c r="AG28" s="37">
        <f t="shared" si="5"/>
        <v>1832531</v>
      </c>
      <c r="AH28" s="37">
        <f t="shared" si="5"/>
        <v>0</v>
      </c>
      <c r="AI28" s="89">
        <f t="shared" si="4"/>
        <v>6961240</v>
      </c>
    </row>
    <row r="29" spans="1:35" x14ac:dyDescent="0.25">
      <c r="A29" s="14" t="s">
        <v>61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89"/>
    </row>
    <row r="30" spans="1:35" x14ac:dyDescent="0.25">
      <c r="A30" s="15" t="s">
        <v>62</v>
      </c>
      <c r="B30" s="36"/>
      <c r="C30" s="36"/>
      <c r="D30" s="36">
        <v>12122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108"/>
      <c r="U30" s="108">
        <v>1072</v>
      </c>
      <c r="V30" s="108"/>
      <c r="W30" s="108"/>
      <c r="X30" s="36"/>
      <c r="Y30" s="36"/>
      <c r="Z30" s="36"/>
      <c r="AA30" s="36"/>
      <c r="AB30" s="36"/>
      <c r="AC30" s="36"/>
      <c r="AD30" s="36"/>
      <c r="AE30" s="36">
        <v>62748</v>
      </c>
      <c r="AF30" s="36">
        <v>45520</v>
      </c>
      <c r="AG30" s="36">
        <v>92079</v>
      </c>
      <c r="AH30" s="36"/>
      <c r="AI30" s="90">
        <f>SUM(B30:AH30)</f>
        <v>213541</v>
      </c>
    </row>
    <row r="31" spans="1:35" x14ac:dyDescent="0.25">
      <c r="A31" s="15" t="s">
        <v>63</v>
      </c>
      <c r="B31" s="36"/>
      <c r="C31" s="36"/>
      <c r="D31" s="36">
        <v>134674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108">
        <v>44987</v>
      </c>
      <c r="S31" s="36"/>
      <c r="T31" s="108"/>
      <c r="U31" s="108">
        <v>366932</v>
      </c>
      <c r="V31" s="108"/>
      <c r="W31" s="108"/>
      <c r="X31" s="36"/>
      <c r="Y31" s="36"/>
      <c r="Z31" s="36"/>
      <c r="AA31" s="36"/>
      <c r="AB31" s="36"/>
      <c r="AC31" s="36"/>
      <c r="AD31" s="36"/>
      <c r="AE31" s="36">
        <v>3069391</v>
      </c>
      <c r="AF31" s="36">
        <v>1391263</v>
      </c>
      <c r="AG31" s="36">
        <v>1740452</v>
      </c>
      <c r="AH31" s="36"/>
      <c r="AI31" s="90">
        <f>SUM(B31:AH31)</f>
        <v>6747699</v>
      </c>
    </row>
    <row r="32" spans="1:35" s="4" customFormat="1" x14ac:dyDescent="0.25">
      <c r="A32" s="16" t="s">
        <v>42</v>
      </c>
      <c r="B32" s="37">
        <f>SUM(B30:B31)</f>
        <v>0</v>
      </c>
      <c r="C32" s="37">
        <f t="shared" ref="C32:AH32" si="6">SUM(C30:C31)</f>
        <v>0</v>
      </c>
      <c r="D32" s="37">
        <f t="shared" si="6"/>
        <v>146796</v>
      </c>
      <c r="E32" s="37">
        <f t="shared" si="6"/>
        <v>0</v>
      </c>
      <c r="F32" s="37">
        <f t="shared" si="6"/>
        <v>0</v>
      </c>
      <c r="G32" s="37">
        <f t="shared" si="6"/>
        <v>0</v>
      </c>
      <c r="H32" s="37">
        <f t="shared" si="6"/>
        <v>0</v>
      </c>
      <c r="I32" s="37">
        <f t="shared" si="6"/>
        <v>0</v>
      </c>
      <c r="J32" s="37">
        <f t="shared" si="6"/>
        <v>0</v>
      </c>
      <c r="K32" s="37">
        <f t="shared" si="6"/>
        <v>0</v>
      </c>
      <c r="L32" s="37">
        <f t="shared" si="6"/>
        <v>0</v>
      </c>
      <c r="M32" s="37">
        <f t="shared" si="6"/>
        <v>0</v>
      </c>
      <c r="N32" s="37">
        <f t="shared" si="6"/>
        <v>0</v>
      </c>
      <c r="O32" s="37">
        <f t="shared" si="6"/>
        <v>0</v>
      </c>
      <c r="P32" s="37">
        <f t="shared" si="6"/>
        <v>0</v>
      </c>
      <c r="Q32" s="37">
        <f t="shared" si="6"/>
        <v>0</v>
      </c>
      <c r="R32" s="37">
        <f t="shared" si="6"/>
        <v>44987</v>
      </c>
      <c r="S32" s="37">
        <f t="shared" si="6"/>
        <v>0</v>
      </c>
      <c r="T32" s="37">
        <f t="shared" si="6"/>
        <v>0</v>
      </c>
      <c r="U32" s="37">
        <f t="shared" si="6"/>
        <v>368004</v>
      </c>
      <c r="V32" s="37">
        <f t="shared" si="6"/>
        <v>0</v>
      </c>
      <c r="W32" s="37">
        <f t="shared" si="6"/>
        <v>0</v>
      </c>
      <c r="X32" s="37">
        <f t="shared" si="6"/>
        <v>0</v>
      </c>
      <c r="Y32" s="37">
        <f t="shared" si="6"/>
        <v>0</v>
      </c>
      <c r="Z32" s="37">
        <f t="shared" si="6"/>
        <v>0</v>
      </c>
      <c r="AA32" s="37">
        <f t="shared" si="6"/>
        <v>0</v>
      </c>
      <c r="AB32" s="37">
        <f t="shared" si="6"/>
        <v>0</v>
      </c>
      <c r="AC32" s="37">
        <f t="shared" si="6"/>
        <v>0</v>
      </c>
      <c r="AD32" s="37">
        <f t="shared" si="6"/>
        <v>0</v>
      </c>
      <c r="AE32" s="37">
        <f t="shared" si="6"/>
        <v>3132139</v>
      </c>
      <c r="AF32" s="37">
        <f t="shared" si="6"/>
        <v>1436783</v>
      </c>
      <c r="AG32" s="37">
        <f t="shared" si="6"/>
        <v>1832531</v>
      </c>
      <c r="AH32" s="37">
        <f t="shared" si="6"/>
        <v>0</v>
      </c>
      <c r="AI32" s="89">
        <f>SUM(B32:AH32)</f>
        <v>6961240</v>
      </c>
    </row>
    <row r="52" spans="32:32" x14ac:dyDescent="0.25">
      <c r="AF52">
        <v>1108872</v>
      </c>
    </row>
    <row r="53" spans="32:32" x14ac:dyDescent="0.25">
      <c r="AF53">
        <v>263612</v>
      </c>
    </row>
    <row r="54" spans="32:32" x14ac:dyDescent="0.25">
      <c r="AF54">
        <f>SUM(AF52:AF53)</f>
        <v>1372484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" customWidth="1"/>
    <col min="2" max="34" width="16" style="7" customWidth="1"/>
    <col min="35" max="35" width="16" style="8" customWidth="1"/>
    <col min="36" max="16384" width="9.140625" style="7"/>
  </cols>
  <sheetData>
    <row r="1" spans="1:35" ht="18.75" x14ac:dyDescent="0.3">
      <c r="A1" s="17" t="s">
        <v>303</v>
      </c>
    </row>
    <row r="2" spans="1:35" x14ac:dyDescent="0.25">
      <c r="A2" s="6" t="s">
        <v>34</v>
      </c>
    </row>
    <row r="3" spans="1:35" x14ac:dyDescent="0.25">
      <c r="A3" s="1" t="s">
        <v>0</v>
      </c>
      <c r="B3" s="94" t="s">
        <v>1</v>
      </c>
      <c r="C3" s="94" t="s">
        <v>285</v>
      </c>
      <c r="D3" s="94" t="s">
        <v>2</v>
      </c>
      <c r="E3" s="94" t="s">
        <v>3</v>
      </c>
      <c r="F3" s="94" t="s">
        <v>4</v>
      </c>
      <c r="G3" s="94" t="s">
        <v>286</v>
      </c>
      <c r="H3" s="94" t="s">
        <v>6</v>
      </c>
      <c r="I3" s="94" t="s">
        <v>5</v>
      </c>
      <c r="J3" s="94" t="s">
        <v>7</v>
      </c>
      <c r="K3" s="94" t="s">
        <v>287</v>
      </c>
      <c r="L3" s="94" t="s">
        <v>8</v>
      </c>
      <c r="M3" s="94" t="s">
        <v>288</v>
      </c>
      <c r="N3" s="94" t="s">
        <v>9</v>
      </c>
      <c r="O3" s="94" t="s">
        <v>10</v>
      </c>
      <c r="P3" s="94" t="s">
        <v>289</v>
      </c>
      <c r="Q3" s="94" t="s">
        <v>11</v>
      </c>
      <c r="R3" s="94" t="s">
        <v>12</v>
      </c>
      <c r="S3" s="94" t="s">
        <v>290</v>
      </c>
      <c r="T3" s="94" t="s">
        <v>299</v>
      </c>
      <c r="U3" s="94" t="s">
        <v>13</v>
      </c>
      <c r="V3" s="94" t="s">
        <v>291</v>
      </c>
      <c r="W3" s="94" t="s">
        <v>292</v>
      </c>
      <c r="X3" s="94" t="s">
        <v>307</v>
      </c>
      <c r="Y3" s="94" t="s">
        <v>293</v>
      </c>
      <c r="Z3" s="94" t="s">
        <v>14</v>
      </c>
      <c r="AA3" s="94" t="s">
        <v>15</v>
      </c>
      <c r="AB3" s="94" t="s">
        <v>16</v>
      </c>
      <c r="AC3" s="94" t="s">
        <v>17</v>
      </c>
      <c r="AD3" s="94" t="s">
        <v>18</v>
      </c>
      <c r="AE3" s="113" t="s">
        <v>294</v>
      </c>
      <c r="AF3" s="113" t="s">
        <v>295</v>
      </c>
      <c r="AG3" s="113" t="s">
        <v>19</v>
      </c>
      <c r="AH3" s="94" t="s">
        <v>20</v>
      </c>
      <c r="AI3" s="112" t="s">
        <v>21</v>
      </c>
    </row>
    <row r="4" spans="1:35" x14ac:dyDescent="0.25">
      <c r="A4" s="2" t="s">
        <v>64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80">
        <f t="shared" ref="AI4:AI19" si="0">SUM(B4:AH4)</f>
        <v>0</v>
      </c>
    </row>
    <row r="5" spans="1:35" x14ac:dyDescent="0.25">
      <c r="A5" s="2" t="s">
        <v>65</v>
      </c>
      <c r="B5" s="108">
        <v>42040</v>
      </c>
      <c r="C5" s="108">
        <v>529169</v>
      </c>
      <c r="D5" s="108">
        <v>809557</v>
      </c>
      <c r="E5" s="108"/>
      <c r="F5" s="108">
        <v>65368</v>
      </c>
      <c r="G5" s="108">
        <v>183508</v>
      </c>
      <c r="H5" s="108">
        <v>10605.78</v>
      </c>
      <c r="I5" s="108">
        <v>94751</v>
      </c>
      <c r="J5" s="108">
        <v>393697</v>
      </c>
      <c r="K5" s="108">
        <v>13304</v>
      </c>
      <c r="L5" s="108">
        <v>414242</v>
      </c>
      <c r="M5" s="108">
        <f>159996+1452</f>
        <v>161448</v>
      </c>
      <c r="N5" s="108">
        <v>2588688</v>
      </c>
      <c r="O5" s="108">
        <v>223746</v>
      </c>
      <c r="P5" s="108">
        <v>30376</v>
      </c>
      <c r="Q5" s="108">
        <v>130510</v>
      </c>
      <c r="R5" s="108">
        <v>194316</v>
      </c>
      <c r="S5" s="108">
        <v>37962</v>
      </c>
      <c r="T5" s="108">
        <v>238493</v>
      </c>
      <c r="U5" s="108">
        <v>370145</v>
      </c>
      <c r="V5" s="108">
        <v>311636</v>
      </c>
      <c r="W5" s="108">
        <v>8121</v>
      </c>
      <c r="X5" s="108">
        <v>116381</v>
      </c>
      <c r="Y5" s="108">
        <v>296507</v>
      </c>
      <c r="Z5" s="108">
        <v>92990</v>
      </c>
      <c r="AA5" s="108">
        <v>583952</v>
      </c>
      <c r="AB5" s="108">
        <v>15959</v>
      </c>
      <c r="AC5" s="108">
        <v>228897</v>
      </c>
      <c r="AD5" s="108">
        <v>702941</v>
      </c>
      <c r="AE5" s="108">
        <v>263080</v>
      </c>
      <c r="AF5" s="108">
        <v>53327</v>
      </c>
      <c r="AG5" s="36">
        <v>11968</v>
      </c>
      <c r="AH5" s="108">
        <v>35754</v>
      </c>
      <c r="AI5" s="81">
        <f t="shared" si="0"/>
        <v>9253438.7800000012</v>
      </c>
    </row>
    <row r="6" spans="1:35" x14ac:dyDescent="0.25">
      <c r="A6" s="2" t="s">
        <v>66</v>
      </c>
      <c r="B6" s="108"/>
      <c r="C6" s="108"/>
      <c r="D6" s="108"/>
      <c r="E6" s="108"/>
      <c r="F6" s="108"/>
      <c r="G6" s="108">
        <v>58718</v>
      </c>
      <c r="H6" s="108">
        <v>748152.33</v>
      </c>
      <c r="I6" s="108"/>
      <c r="J6" s="108"/>
      <c r="K6" s="108"/>
      <c r="L6" s="108"/>
      <c r="M6" s="108"/>
      <c r="N6" s="108">
        <v>2411770</v>
      </c>
      <c r="O6" s="108">
        <v>37849</v>
      </c>
      <c r="P6" s="108"/>
      <c r="Q6" s="108"/>
      <c r="R6" s="108"/>
      <c r="S6" s="108"/>
      <c r="T6" s="108"/>
      <c r="U6" s="108">
        <v>6452</v>
      </c>
      <c r="V6" s="108"/>
      <c r="W6" s="108"/>
      <c r="X6" s="108"/>
      <c r="Y6" s="108"/>
      <c r="Z6" s="108"/>
      <c r="AA6" s="108"/>
      <c r="AB6" s="108"/>
      <c r="AC6" s="108">
        <v>11600</v>
      </c>
      <c r="AD6" s="108"/>
      <c r="AE6" s="108">
        <v>138059</v>
      </c>
      <c r="AF6" s="108">
        <v>59546</v>
      </c>
      <c r="AG6" s="36">
        <v>131793</v>
      </c>
      <c r="AH6" s="108"/>
      <c r="AI6" s="81">
        <f t="shared" si="0"/>
        <v>3603939.33</v>
      </c>
    </row>
    <row r="7" spans="1:35" x14ac:dyDescent="0.25">
      <c r="A7" s="2" t="s">
        <v>67</v>
      </c>
      <c r="B7" s="108"/>
      <c r="C7" s="108"/>
      <c r="D7" s="108"/>
      <c r="E7" s="108"/>
      <c r="F7" s="108">
        <v>13952</v>
      </c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>
        <v>290928</v>
      </c>
      <c r="V7" s="108"/>
      <c r="W7" s="108"/>
      <c r="X7" s="108"/>
      <c r="Y7" s="108"/>
      <c r="Z7" s="108"/>
      <c r="AA7" s="108"/>
      <c r="AB7" s="108">
        <v>210063</v>
      </c>
      <c r="AC7" s="108"/>
      <c r="AD7" s="108"/>
      <c r="AE7" s="108">
        <v>286402</v>
      </c>
      <c r="AF7" s="108">
        <v>652302</v>
      </c>
      <c r="AG7" s="36">
        <v>20645</v>
      </c>
      <c r="AH7" s="108">
        <v>287</v>
      </c>
      <c r="AI7" s="81">
        <f t="shared" si="0"/>
        <v>1474579</v>
      </c>
    </row>
    <row r="8" spans="1:35" x14ac:dyDescent="0.25">
      <c r="A8" s="2" t="s">
        <v>68</v>
      </c>
      <c r="B8" s="108">
        <v>39</v>
      </c>
      <c r="C8" s="108"/>
      <c r="D8" s="108">
        <v>920663</v>
      </c>
      <c r="E8" s="108"/>
      <c r="F8" s="108"/>
      <c r="G8" s="108"/>
      <c r="H8" s="108">
        <v>53250.82</v>
      </c>
      <c r="I8" s="108"/>
      <c r="J8" s="108">
        <v>151694</v>
      </c>
      <c r="K8" s="108">
        <v>48377</v>
      </c>
      <c r="L8" s="108">
        <v>37577</v>
      </c>
      <c r="M8" s="108"/>
      <c r="N8" s="108"/>
      <c r="O8" s="108"/>
      <c r="P8" s="108">
        <v>638</v>
      </c>
      <c r="Q8" s="108"/>
      <c r="R8" s="108">
        <v>14114</v>
      </c>
      <c r="S8" s="108">
        <v>11661</v>
      </c>
      <c r="T8" s="108">
        <v>18534</v>
      </c>
      <c r="U8" s="108"/>
      <c r="V8" s="108">
        <v>25529</v>
      </c>
      <c r="W8" s="108">
        <v>9224</v>
      </c>
      <c r="X8" s="108">
        <v>17584</v>
      </c>
      <c r="Y8" s="108">
        <v>12332</v>
      </c>
      <c r="Z8" s="108">
        <v>49236</v>
      </c>
      <c r="AA8" s="108">
        <v>130996</v>
      </c>
      <c r="AB8" s="108">
        <v>10620</v>
      </c>
      <c r="AC8" s="108"/>
      <c r="AD8" s="108">
        <v>56240</v>
      </c>
      <c r="AE8" s="108"/>
      <c r="AF8" s="108"/>
      <c r="AG8" s="36">
        <v>188434</v>
      </c>
      <c r="AH8" s="108"/>
      <c r="AI8" s="81">
        <f t="shared" si="0"/>
        <v>1756742.8199999998</v>
      </c>
    </row>
    <row r="9" spans="1:35" x14ac:dyDescent="0.25">
      <c r="A9" s="2" t="s">
        <v>69</v>
      </c>
      <c r="B9" s="108"/>
      <c r="C9" s="108"/>
      <c r="D9" s="108">
        <v>275507</v>
      </c>
      <c r="E9" s="108"/>
      <c r="F9" s="108"/>
      <c r="G9" s="108">
        <v>317928</v>
      </c>
      <c r="H9" s="108">
        <v>280567.71000000002</v>
      </c>
      <c r="I9" s="108"/>
      <c r="J9" s="108"/>
      <c r="K9" s="108"/>
      <c r="L9" s="108">
        <v>1369062</v>
      </c>
      <c r="M9" s="108"/>
      <c r="N9" s="108">
        <v>393408</v>
      </c>
      <c r="O9" s="108">
        <v>10137</v>
      </c>
      <c r="P9" s="108"/>
      <c r="Q9" s="108"/>
      <c r="R9" s="108"/>
      <c r="S9" s="108"/>
      <c r="T9" s="108"/>
      <c r="U9" s="108">
        <v>770605</v>
      </c>
      <c r="V9" s="108"/>
      <c r="W9" s="108"/>
      <c r="X9" s="108"/>
      <c r="Y9" s="108"/>
      <c r="Z9" s="108"/>
      <c r="AA9" s="108"/>
      <c r="AB9" s="108">
        <v>144607</v>
      </c>
      <c r="AC9" s="108">
        <v>63592</v>
      </c>
      <c r="AD9" s="108">
        <v>766417</v>
      </c>
      <c r="AE9" s="108">
        <v>1230150</v>
      </c>
      <c r="AF9" s="108">
        <v>580660</v>
      </c>
      <c r="AG9" s="36">
        <v>355107</v>
      </c>
      <c r="AH9" s="108"/>
      <c r="AI9" s="81">
        <f t="shared" si="0"/>
        <v>6557747.71</v>
      </c>
    </row>
    <row r="10" spans="1:35" x14ac:dyDescent="0.25">
      <c r="A10" s="2" t="s">
        <v>70</v>
      </c>
      <c r="B10" s="108">
        <v>569</v>
      </c>
      <c r="C10" s="108">
        <v>5100</v>
      </c>
      <c r="D10" s="108">
        <v>53699</v>
      </c>
      <c r="E10" s="108"/>
      <c r="F10" s="108">
        <v>9426</v>
      </c>
      <c r="G10" s="108">
        <v>4905</v>
      </c>
      <c r="H10" s="108">
        <v>29559.48</v>
      </c>
      <c r="I10" s="108">
        <v>2238</v>
      </c>
      <c r="J10" s="108">
        <v>46388</v>
      </c>
      <c r="K10" s="108">
        <v>12631</v>
      </c>
      <c r="L10" s="108">
        <v>156123</v>
      </c>
      <c r="M10" s="108">
        <v>11465</v>
      </c>
      <c r="N10" s="108">
        <v>478641</v>
      </c>
      <c r="O10" s="108">
        <v>196875</v>
      </c>
      <c r="P10" s="108">
        <v>23</v>
      </c>
      <c r="Q10" s="108">
        <v>1084</v>
      </c>
      <c r="R10" s="108">
        <v>686</v>
      </c>
      <c r="S10" s="108">
        <v>3829</v>
      </c>
      <c r="T10" s="108">
        <v>6795</v>
      </c>
      <c r="U10" s="108">
        <v>96924.600618569006</v>
      </c>
      <c r="V10" s="108">
        <v>6351</v>
      </c>
      <c r="W10" s="108">
        <v>4114</v>
      </c>
      <c r="X10" s="108">
        <v>19632</v>
      </c>
      <c r="Y10" s="108">
        <v>317</v>
      </c>
      <c r="Z10" s="108">
        <v>10073</v>
      </c>
      <c r="AA10" s="108">
        <v>22001</v>
      </c>
      <c r="AB10" s="108">
        <v>38987</v>
      </c>
      <c r="AC10" s="108">
        <v>137720</v>
      </c>
      <c r="AD10" s="108">
        <v>12782</v>
      </c>
      <c r="AE10" s="108">
        <v>314886</v>
      </c>
      <c r="AF10" s="108">
        <v>87406</v>
      </c>
      <c r="AG10" s="36">
        <v>57797</v>
      </c>
      <c r="AH10" s="108">
        <v>14435</v>
      </c>
      <c r="AI10" s="81">
        <f t="shared" si="0"/>
        <v>1843462.0806185689</v>
      </c>
    </row>
    <row r="11" spans="1:35" x14ac:dyDescent="0.25">
      <c r="A11" s="2" t="s">
        <v>71</v>
      </c>
      <c r="B11" s="108">
        <v>10516</v>
      </c>
      <c r="C11" s="108">
        <v>84615</v>
      </c>
      <c r="D11" s="108">
        <v>308827</v>
      </c>
      <c r="E11" s="108"/>
      <c r="F11" s="108">
        <v>73067</v>
      </c>
      <c r="G11" s="108">
        <v>69767</v>
      </c>
      <c r="H11" s="108">
        <v>30462.67</v>
      </c>
      <c r="I11" s="108">
        <v>4476</v>
      </c>
      <c r="J11" s="108">
        <v>273044</v>
      </c>
      <c r="K11" s="108">
        <v>95421</v>
      </c>
      <c r="L11" s="108">
        <v>276138</v>
      </c>
      <c r="M11" s="108">
        <v>81895</v>
      </c>
      <c r="N11" s="108">
        <v>188690</v>
      </c>
      <c r="O11" s="108">
        <v>140043</v>
      </c>
      <c r="P11" s="108">
        <v>25004</v>
      </c>
      <c r="Q11" s="108">
        <v>47884</v>
      </c>
      <c r="R11" s="108">
        <v>26329</v>
      </c>
      <c r="S11" s="108">
        <v>88928</v>
      </c>
      <c r="T11" s="108">
        <v>22833</v>
      </c>
      <c r="U11" s="108">
        <f>540197+115380</f>
        <v>655577</v>
      </c>
      <c r="V11" s="108">
        <v>109338</v>
      </c>
      <c r="W11" s="108">
        <v>11302</v>
      </c>
      <c r="X11" s="108">
        <v>68453</v>
      </c>
      <c r="Y11" s="108">
        <v>145446</v>
      </c>
      <c r="Z11" s="108">
        <v>76213</v>
      </c>
      <c r="AA11" s="108">
        <v>298498</v>
      </c>
      <c r="AB11" s="108">
        <v>29095</v>
      </c>
      <c r="AC11" s="108">
        <v>211261</v>
      </c>
      <c r="AD11" s="108">
        <v>340975</v>
      </c>
      <c r="AE11" s="108">
        <v>871454</v>
      </c>
      <c r="AF11" s="108">
        <v>535710</v>
      </c>
      <c r="AG11" s="36">
        <v>163859</v>
      </c>
      <c r="AH11" s="108">
        <v>276890</v>
      </c>
      <c r="AI11" s="81">
        <f t="shared" si="0"/>
        <v>5642010.6699999999</v>
      </c>
    </row>
    <row r="12" spans="1:35" x14ac:dyDescent="0.25">
      <c r="A12" s="2" t="s">
        <v>72</v>
      </c>
      <c r="B12" s="108"/>
      <c r="C12" s="108">
        <v>9183</v>
      </c>
      <c r="D12" s="108">
        <v>12261</v>
      </c>
      <c r="E12" s="108"/>
      <c r="F12" s="108"/>
      <c r="G12" s="108">
        <v>16755</v>
      </c>
      <c r="H12" s="108">
        <v>1426.74</v>
      </c>
      <c r="I12" s="108"/>
      <c r="J12" s="108">
        <v>3684</v>
      </c>
      <c r="K12" s="108"/>
      <c r="L12" s="108">
        <v>87291</v>
      </c>
      <c r="M12" s="108">
        <v>3191</v>
      </c>
      <c r="N12" s="108">
        <v>88285</v>
      </c>
      <c r="O12" s="108">
        <v>16629</v>
      </c>
      <c r="P12" s="108">
        <v>17837</v>
      </c>
      <c r="Q12" s="108">
        <v>2625</v>
      </c>
      <c r="R12" s="108">
        <v>4934</v>
      </c>
      <c r="S12" s="108"/>
      <c r="T12" s="108"/>
      <c r="U12" s="108">
        <v>443597</v>
      </c>
      <c r="V12" s="108"/>
      <c r="W12" s="108"/>
      <c r="X12" s="108">
        <v>9237</v>
      </c>
      <c r="Y12" s="108"/>
      <c r="Z12" s="108">
        <v>2960</v>
      </c>
      <c r="AA12" s="108">
        <v>424</v>
      </c>
      <c r="AB12" s="108">
        <v>238</v>
      </c>
      <c r="AC12" s="108">
        <v>24462</v>
      </c>
      <c r="AD12" s="108">
        <v>29995</v>
      </c>
      <c r="AE12" s="108">
        <v>988409</v>
      </c>
      <c r="AF12" s="108">
        <v>469542</v>
      </c>
      <c r="AG12" s="36">
        <v>371639</v>
      </c>
      <c r="AH12" s="108">
        <v>9206</v>
      </c>
      <c r="AI12" s="81">
        <f t="shared" si="0"/>
        <v>2613810.7400000002</v>
      </c>
    </row>
    <row r="13" spans="1:35" x14ac:dyDescent="0.25">
      <c r="A13" s="2" t="s">
        <v>73</v>
      </c>
      <c r="B13" s="108">
        <v>1529</v>
      </c>
      <c r="C13" s="108">
        <v>23282</v>
      </c>
      <c r="D13" s="108">
        <v>5676</v>
      </c>
      <c r="E13" s="108"/>
      <c r="F13" s="108">
        <v>8785</v>
      </c>
      <c r="G13" s="108">
        <v>6553</v>
      </c>
      <c r="H13" s="108">
        <v>11305.14</v>
      </c>
      <c r="I13" s="108">
        <v>1624</v>
      </c>
      <c r="J13" s="108">
        <v>79032</v>
      </c>
      <c r="K13" s="108">
        <v>36471</v>
      </c>
      <c r="L13" s="108">
        <v>43530</v>
      </c>
      <c r="M13" s="108">
        <v>9956</v>
      </c>
      <c r="N13" s="108">
        <v>492769</v>
      </c>
      <c r="O13" s="108">
        <v>32652</v>
      </c>
      <c r="P13" s="108">
        <v>1093</v>
      </c>
      <c r="Q13" s="108">
        <v>13897</v>
      </c>
      <c r="R13" s="108">
        <v>998</v>
      </c>
      <c r="S13" s="108">
        <v>6009</v>
      </c>
      <c r="T13" s="108">
        <v>21424</v>
      </c>
      <c r="U13" s="108">
        <v>16470</v>
      </c>
      <c r="V13" s="108">
        <v>6901</v>
      </c>
      <c r="W13" s="108">
        <v>420</v>
      </c>
      <c r="X13" s="108">
        <v>41916</v>
      </c>
      <c r="Y13" s="108">
        <v>22815</v>
      </c>
      <c r="Z13" s="108">
        <v>17460</v>
      </c>
      <c r="AA13" s="108">
        <v>51447</v>
      </c>
      <c r="AB13" s="108">
        <v>20389</v>
      </c>
      <c r="AC13" s="108">
        <v>82455</v>
      </c>
      <c r="AD13" s="108">
        <v>34419</v>
      </c>
      <c r="AE13" s="108">
        <v>21845</v>
      </c>
      <c r="AF13" s="108">
        <v>12765</v>
      </c>
      <c r="AG13" s="36">
        <v>19394</v>
      </c>
      <c r="AH13" s="108">
        <v>5448</v>
      </c>
      <c r="AI13" s="81">
        <f t="shared" si="0"/>
        <v>1150729.1400000001</v>
      </c>
    </row>
    <row r="14" spans="1:35" x14ac:dyDescent="0.25">
      <c r="A14" s="2" t="s">
        <v>74</v>
      </c>
      <c r="B14" s="108"/>
      <c r="C14" s="108"/>
      <c r="D14" s="108">
        <v>4545</v>
      </c>
      <c r="E14" s="108"/>
      <c r="F14" s="108"/>
      <c r="G14" s="108">
        <v>8611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>
        <v>3586</v>
      </c>
      <c r="S14" s="108"/>
      <c r="T14" s="108"/>
      <c r="U14" s="108">
        <v>83033</v>
      </c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36">
        <v>65105</v>
      </c>
      <c r="AH14" s="108"/>
      <c r="AI14" s="81">
        <f t="shared" si="0"/>
        <v>164880</v>
      </c>
    </row>
    <row r="15" spans="1:35" x14ac:dyDescent="0.25">
      <c r="A15" s="2" t="s">
        <v>75</v>
      </c>
      <c r="B15" s="108">
        <f>B16-B14-B13-B12-B11-B10-B9-B8-B7-B6-B5-B4</f>
        <v>0</v>
      </c>
      <c r="C15" s="108">
        <f t="shared" ref="C15:AH15" si="1">C16-C14-C13-C12-C11-C10-C9-C8-C7-C6-C5-C4</f>
        <v>49041</v>
      </c>
      <c r="D15" s="108">
        <f t="shared" si="1"/>
        <v>0</v>
      </c>
      <c r="E15" s="108">
        <f t="shared" si="1"/>
        <v>0</v>
      </c>
      <c r="F15" s="108">
        <f t="shared" si="1"/>
        <v>0</v>
      </c>
      <c r="G15" s="108">
        <f t="shared" si="1"/>
        <v>30260</v>
      </c>
      <c r="H15" s="108">
        <f>H16-H14-H13-H12-H11-H10-H9-H8-H7-H6-H5-H4</f>
        <v>2.6011548470705748E-10</v>
      </c>
      <c r="I15" s="108">
        <f t="shared" si="1"/>
        <v>1042</v>
      </c>
      <c r="J15" s="108">
        <f t="shared" si="1"/>
        <v>1</v>
      </c>
      <c r="K15" s="108">
        <f t="shared" si="1"/>
        <v>0</v>
      </c>
      <c r="L15" s="108">
        <f t="shared" si="1"/>
        <v>0</v>
      </c>
      <c r="M15" s="108">
        <f t="shared" si="1"/>
        <v>0</v>
      </c>
      <c r="N15" s="108">
        <f t="shared" si="1"/>
        <v>0</v>
      </c>
      <c r="O15" s="108">
        <f t="shared" si="1"/>
        <v>0</v>
      </c>
      <c r="P15" s="108">
        <f t="shared" si="1"/>
        <v>0</v>
      </c>
      <c r="Q15" s="108">
        <f t="shared" si="1"/>
        <v>19814</v>
      </c>
      <c r="R15" s="108">
        <f t="shared" si="1"/>
        <v>0</v>
      </c>
      <c r="S15" s="108">
        <f t="shared" si="1"/>
        <v>1</v>
      </c>
      <c r="T15" s="108">
        <f t="shared" si="1"/>
        <v>57536</v>
      </c>
      <c r="U15" s="108">
        <f t="shared" si="1"/>
        <v>2107.3993814310525</v>
      </c>
      <c r="V15" s="108">
        <f t="shared" si="1"/>
        <v>0</v>
      </c>
      <c r="W15" s="108">
        <f t="shared" si="1"/>
        <v>1</v>
      </c>
      <c r="X15" s="108">
        <f t="shared" si="1"/>
        <v>31</v>
      </c>
      <c r="Y15" s="108">
        <f t="shared" si="1"/>
        <v>0</v>
      </c>
      <c r="Z15" s="108">
        <f t="shared" si="1"/>
        <v>27614</v>
      </c>
      <c r="AA15" s="108">
        <f t="shared" si="1"/>
        <v>0</v>
      </c>
      <c r="AB15" s="108">
        <f t="shared" si="1"/>
        <v>-1</v>
      </c>
      <c r="AC15" s="108">
        <f t="shared" si="1"/>
        <v>128</v>
      </c>
      <c r="AD15" s="108">
        <f t="shared" si="1"/>
        <v>46770</v>
      </c>
      <c r="AE15" s="108">
        <f t="shared" si="1"/>
        <v>203693</v>
      </c>
      <c r="AF15" s="108">
        <f t="shared" si="1"/>
        <v>84226</v>
      </c>
      <c r="AG15" s="108">
        <f t="shared" si="1"/>
        <v>63223</v>
      </c>
      <c r="AH15" s="108">
        <f t="shared" si="1"/>
        <v>0</v>
      </c>
      <c r="AI15" s="81">
        <f t="shared" si="0"/>
        <v>585487.39938143129</v>
      </c>
    </row>
    <row r="16" spans="1:35" s="8" customFormat="1" x14ac:dyDescent="0.25">
      <c r="A16" s="3" t="s">
        <v>42</v>
      </c>
      <c r="B16" s="11">
        <v>54693</v>
      </c>
      <c r="C16" s="11">
        <v>700390</v>
      </c>
      <c r="D16" s="11">
        <v>2390735</v>
      </c>
      <c r="E16" s="11"/>
      <c r="F16" s="11">
        <v>170598</v>
      </c>
      <c r="G16" s="11">
        <v>697005</v>
      </c>
      <c r="H16" s="11">
        <v>1165330.67</v>
      </c>
      <c r="I16" s="11">
        <v>104131</v>
      </c>
      <c r="J16" s="11">
        <v>947540</v>
      </c>
      <c r="K16" s="11">
        <v>206204</v>
      </c>
      <c r="L16" s="11">
        <v>2383963</v>
      </c>
      <c r="M16" s="11">
        <v>267955</v>
      </c>
      <c r="N16" s="11">
        <v>6642251</v>
      </c>
      <c r="O16" s="11">
        <v>657931</v>
      </c>
      <c r="P16" s="11">
        <v>74971</v>
      </c>
      <c r="Q16" s="11">
        <v>215814</v>
      </c>
      <c r="R16" s="11">
        <v>244963</v>
      </c>
      <c r="S16" s="11">
        <v>148390</v>
      </c>
      <c r="T16" s="11">
        <v>365615</v>
      </c>
      <c r="U16" s="11">
        <v>2735839</v>
      </c>
      <c r="V16" s="11">
        <v>459755</v>
      </c>
      <c r="W16" s="11">
        <v>33182</v>
      </c>
      <c r="X16" s="11">
        <v>273234</v>
      </c>
      <c r="Y16" s="11">
        <v>477417</v>
      </c>
      <c r="Z16" s="11">
        <v>276546</v>
      </c>
      <c r="AA16" s="11">
        <v>1087318</v>
      </c>
      <c r="AB16" s="11">
        <v>469957</v>
      </c>
      <c r="AC16" s="11">
        <v>760115</v>
      </c>
      <c r="AD16" s="11">
        <v>1990539</v>
      </c>
      <c r="AE16" s="11">
        <v>4317978</v>
      </c>
      <c r="AF16" s="11">
        <v>2535484</v>
      </c>
      <c r="AG16" s="11">
        <v>1448964</v>
      </c>
      <c r="AH16" s="11">
        <v>342020</v>
      </c>
      <c r="AI16" s="80">
        <f t="shared" si="0"/>
        <v>34646827.670000002</v>
      </c>
    </row>
    <row r="17" spans="1:35" x14ac:dyDescent="0.25">
      <c r="A17" s="2" t="s">
        <v>76</v>
      </c>
      <c r="B17" s="108"/>
      <c r="C17" s="100">
        <v>1330</v>
      </c>
      <c r="D17" s="108"/>
      <c r="E17" s="108"/>
      <c r="F17" s="108">
        <v>19883</v>
      </c>
      <c r="G17" s="108">
        <v>20870</v>
      </c>
      <c r="H17" s="108">
        <v>1775526.22</v>
      </c>
      <c r="I17" s="108">
        <v>25810</v>
      </c>
      <c r="J17" s="108"/>
      <c r="K17" s="108">
        <v>752223</v>
      </c>
      <c r="L17" s="108">
        <v>213128</v>
      </c>
      <c r="M17" s="108">
        <v>127170</v>
      </c>
      <c r="N17" s="108">
        <v>123563</v>
      </c>
      <c r="O17" s="108">
        <v>79969</v>
      </c>
      <c r="P17" s="108"/>
      <c r="Q17" s="108">
        <v>17515</v>
      </c>
      <c r="R17" s="108">
        <v>12057</v>
      </c>
      <c r="S17" s="108">
        <v>126474</v>
      </c>
      <c r="T17" s="108">
        <v>25455</v>
      </c>
      <c r="U17" s="108">
        <v>1110000</v>
      </c>
      <c r="V17" s="108">
        <v>36303</v>
      </c>
      <c r="W17" s="108">
        <v>27522</v>
      </c>
      <c r="X17" s="108">
        <v>118462</v>
      </c>
      <c r="Y17" s="108">
        <v>9914</v>
      </c>
      <c r="Z17" s="108">
        <v>2633</v>
      </c>
      <c r="AA17" s="108">
        <v>8116</v>
      </c>
      <c r="AB17" s="108"/>
      <c r="AC17" s="108">
        <v>168996</v>
      </c>
      <c r="AD17" s="108">
        <v>71129</v>
      </c>
      <c r="AE17" s="108">
        <v>213126</v>
      </c>
      <c r="AF17" s="108">
        <v>3207221</v>
      </c>
      <c r="AG17" s="36">
        <v>1164682</v>
      </c>
      <c r="AH17" s="108">
        <v>19623</v>
      </c>
      <c r="AI17" s="81">
        <f t="shared" si="0"/>
        <v>9478700.2199999988</v>
      </c>
    </row>
    <row r="18" spans="1:35" ht="30" x14ac:dyDescent="0.25">
      <c r="A18" s="2" t="s">
        <v>77</v>
      </c>
      <c r="B18" s="108"/>
      <c r="C18" s="100">
        <v>106319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81">
        <f t="shared" si="0"/>
        <v>106319</v>
      </c>
    </row>
    <row r="19" spans="1:35" s="8" customFormat="1" x14ac:dyDescent="0.25">
      <c r="A19" s="3" t="s">
        <v>78</v>
      </c>
      <c r="B19" s="11">
        <f>B16+B17+B18</f>
        <v>54693</v>
      </c>
      <c r="C19" s="101">
        <f t="shared" ref="C19:AH19" si="2">C16+C17+C18</f>
        <v>808039</v>
      </c>
      <c r="D19" s="11">
        <f t="shared" si="2"/>
        <v>2390735</v>
      </c>
      <c r="E19" s="11">
        <f t="shared" si="2"/>
        <v>0</v>
      </c>
      <c r="F19" s="11">
        <f t="shared" si="2"/>
        <v>190481</v>
      </c>
      <c r="G19" s="11">
        <f t="shared" si="2"/>
        <v>717875</v>
      </c>
      <c r="H19" s="11">
        <f t="shared" si="2"/>
        <v>2940856.8899999997</v>
      </c>
      <c r="I19" s="11">
        <f t="shared" si="2"/>
        <v>129941</v>
      </c>
      <c r="J19" s="11">
        <f t="shared" si="2"/>
        <v>947540</v>
      </c>
      <c r="K19" s="11">
        <f t="shared" si="2"/>
        <v>958427</v>
      </c>
      <c r="L19" s="11">
        <f t="shared" si="2"/>
        <v>2597091</v>
      </c>
      <c r="M19" s="11">
        <f t="shared" si="2"/>
        <v>395125</v>
      </c>
      <c r="N19" s="11">
        <f t="shared" si="2"/>
        <v>6765814</v>
      </c>
      <c r="O19" s="11">
        <f t="shared" si="2"/>
        <v>737900</v>
      </c>
      <c r="P19" s="11">
        <f t="shared" si="2"/>
        <v>74971</v>
      </c>
      <c r="Q19" s="11">
        <f t="shared" si="2"/>
        <v>233329</v>
      </c>
      <c r="R19" s="11">
        <f t="shared" si="2"/>
        <v>257020</v>
      </c>
      <c r="S19" s="11">
        <f t="shared" si="2"/>
        <v>274864</v>
      </c>
      <c r="T19" s="11">
        <f t="shared" si="2"/>
        <v>391070</v>
      </c>
      <c r="U19" s="11">
        <f t="shared" si="2"/>
        <v>3845839</v>
      </c>
      <c r="V19" s="11">
        <f t="shared" si="2"/>
        <v>496058</v>
      </c>
      <c r="W19" s="11">
        <f t="shared" si="2"/>
        <v>60704</v>
      </c>
      <c r="X19" s="11">
        <f t="shared" si="2"/>
        <v>391696</v>
      </c>
      <c r="Y19" s="11">
        <f t="shared" si="2"/>
        <v>487331</v>
      </c>
      <c r="Z19" s="11">
        <f t="shared" si="2"/>
        <v>279179</v>
      </c>
      <c r="AA19" s="11">
        <f t="shared" si="2"/>
        <v>1095434</v>
      </c>
      <c r="AB19" s="11">
        <f t="shared" si="2"/>
        <v>469957</v>
      </c>
      <c r="AC19" s="11">
        <f t="shared" si="2"/>
        <v>929111</v>
      </c>
      <c r="AD19" s="11">
        <f t="shared" si="2"/>
        <v>2061668</v>
      </c>
      <c r="AE19" s="11">
        <f t="shared" si="2"/>
        <v>4531104</v>
      </c>
      <c r="AF19" s="11">
        <f t="shared" si="2"/>
        <v>5742705</v>
      </c>
      <c r="AG19" s="11">
        <f t="shared" si="2"/>
        <v>2613646</v>
      </c>
      <c r="AH19" s="11">
        <f t="shared" si="2"/>
        <v>361643</v>
      </c>
      <c r="AI19" s="80">
        <f t="shared" si="0"/>
        <v>44231846.890000001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0.140625" style="7" customWidth="1"/>
    <col min="2" max="3" width="16" style="7" customWidth="1"/>
    <col min="4" max="4" width="16" style="57" customWidth="1"/>
    <col min="5" max="34" width="16" style="7" customWidth="1"/>
    <col min="35" max="35" width="16" style="64" customWidth="1"/>
    <col min="36" max="16384" width="9.140625" style="7"/>
  </cols>
  <sheetData>
    <row r="1" spans="1:35" ht="18.75" x14ac:dyDescent="0.3">
      <c r="A1" s="17" t="s">
        <v>304</v>
      </c>
    </row>
    <row r="2" spans="1:35" x14ac:dyDescent="0.25">
      <c r="A2" s="6" t="s">
        <v>34</v>
      </c>
    </row>
    <row r="3" spans="1:35" x14ac:dyDescent="0.25">
      <c r="A3" s="1" t="s">
        <v>0</v>
      </c>
      <c r="B3" s="94" t="s">
        <v>1</v>
      </c>
      <c r="C3" s="94" t="s">
        <v>285</v>
      </c>
      <c r="D3" s="113" t="s">
        <v>2</v>
      </c>
      <c r="E3" s="94" t="s">
        <v>3</v>
      </c>
      <c r="F3" s="94" t="s">
        <v>4</v>
      </c>
      <c r="G3" s="94" t="s">
        <v>286</v>
      </c>
      <c r="H3" s="94" t="s">
        <v>6</v>
      </c>
      <c r="I3" s="94" t="s">
        <v>5</v>
      </c>
      <c r="J3" s="94" t="s">
        <v>7</v>
      </c>
      <c r="K3" s="94" t="s">
        <v>287</v>
      </c>
      <c r="L3" s="94" t="s">
        <v>8</v>
      </c>
      <c r="M3" s="94" t="s">
        <v>288</v>
      </c>
      <c r="N3" s="94" t="s">
        <v>9</v>
      </c>
      <c r="O3" s="94" t="s">
        <v>10</v>
      </c>
      <c r="P3" s="94" t="s">
        <v>289</v>
      </c>
      <c r="Q3" s="94" t="s">
        <v>11</v>
      </c>
      <c r="R3" s="94" t="s">
        <v>12</v>
      </c>
      <c r="S3" s="94" t="s">
        <v>290</v>
      </c>
      <c r="T3" s="94" t="s">
        <v>299</v>
      </c>
      <c r="U3" s="94" t="s">
        <v>13</v>
      </c>
      <c r="V3" s="94" t="s">
        <v>291</v>
      </c>
      <c r="W3" s="94" t="s">
        <v>292</v>
      </c>
      <c r="X3" s="94" t="s">
        <v>307</v>
      </c>
      <c r="Y3" s="94" t="s">
        <v>293</v>
      </c>
      <c r="Z3" s="94" t="s">
        <v>14</v>
      </c>
      <c r="AA3" s="94" t="s">
        <v>15</v>
      </c>
      <c r="AB3" s="94" t="s">
        <v>16</v>
      </c>
      <c r="AC3" s="94" t="s">
        <v>17</v>
      </c>
      <c r="AD3" s="94" t="s">
        <v>18</v>
      </c>
      <c r="AE3" s="102" t="s">
        <v>294</v>
      </c>
      <c r="AF3" s="113" t="s">
        <v>295</v>
      </c>
      <c r="AG3" s="113" t="s">
        <v>19</v>
      </c>
      <c r="AH3" s="94" t="s">
        <v>20</v>
      </c>
      <c r="AI3" s="112" t="s">
        <v>21</v>
      </c>
    </row>
    <row r="4" spans="1:35" ht="15" customHeight="1" x14ac:dyDescent="0.25">
      <c r="A4" s="2" t="s">
        <v>79</v>
      </c>
      <c r="B4" s="108">
        <v>397</v>
      </c>
      <c r="C4" s="108">
        <v>2285</v>
      </c>
      <c r="D4" s="60">
        <v>67</v>
      </c>
      <c r="E4" s="108">
        <v>404310</v>
      </c>
      <c r="F4" s="108">
        <v>2554</v>
      </c>
      <c r="G4" s="108">
        <v>49280</v>
      </c>
      <c r="H4" s="108">
        <v>391.51</v>
      </c>
      <c r="I4" s="108">
        <v>2256</v>
      </c>
      <c r="J4" s="108">
        <v>38868</v>
      </c>
      <c r="K4" s="108">
        <v>262568</v>
      </c>
      <c r="L4" s="108">
        <v>182984</v>
      </c>
      <c r="M4" s="108">
        <v>4720</v>
      </c>
      <c r="N4" s="108">
        <v>28585</v>
      </c>
      <c r="O4" s="108">
        <v>14308</v>
      </c>
      <c r="P4" s="108">
        <v>36306</v>
      </c>
      <c r="Q4" s="108">
        <v>48908</v>
      </c>
      <c r="R4" s="108">
        <v>5469</v>
      </c>
      <c r="S4" s="108">
        <v>6722</v>
      </c>
      <c r="T4" s="108">
        <v>6719</v>
      </c>
      <c r="U4" s="108">
        <v>109297</v>
      </c>
      <c r="V4" s="108">
        <v>3551</v>
      </c>
      <c r="W4" s="108">
        <v>112</v>
      </c>
      <c r="X4" s="108">
        <v>7828</v>
      </c>
      <c r="Y4" s="108">
        <v>19505</v>
      </c>
      <c r="Z4" s="108">
        <v>15918</v>
      </c>
      <c r="AA4" s="108">
        <v>65057</v>
      </c>
      <c r="AB4" s="108">
        <v>10647</v>
      </c>
      <c r="AC4" s="108">
        <v>381785</v>
      </c>
      <c r="AD4" s="108">
        <v>106961</v>
      </c>
      <c r="AE4" s="108">
        <v>21230</v>
      </c>
      <c r="AF4" s="108">
        <v>36239</v>
      </c>
      <c r="AG4" s="36">
        <v>403339</v>
      </c>
      <c r="AH4" s="108">
        <v>6190</v>
      </c>
      <c r="AI4" s="81">
        <f t="shared" ref="AI4:AI16" si="0">SUM(B4:AH4)</f>
        <v>2285356.5099999998</v>
      </c>
    </row>
    <row r="5" spans="1:35" x14ac:dyDescent="0.25">
      <c r="A5" s="2" t="s">
        <v>80</v>
      </c>
      <c r="B5" s="108"/>
      <c r="C5" s="108"/>
      <c r="D5" s="60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81">
        <f t="shared" si="0"/>
        <v>0</v>
      </c>
    </row>
    <row r="6" spans="1:35" x14ac:dyDescent="0.25">
      <c r="A6" s="2" t="s">
        <v>81</v>
      </c>
      <c r="B6" s="108"/>
      <c r="C6" s="108"/>
      <c r="D6" s="60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81">
        <f t="shared" si="0"/>
        <v>0</v>
      </c>
    </row>
    <row r="7" spans="1:35" ht="15" customHeight="1" x14ac:dyDescent="0.25">
      <c r="A7" s="2" t="s">
        <v>82</v>
      </c>
      <c r="B7" s="108"/>
      <c r="C7" s="108">
        <v>611</v>
      </c>
      <c r="D7" s="60">
        <v>27327661</v>
      </c>
      <c r="E7" s="108">
        <v>1538809</v>
      </c>
      <c r="F7" s="108">
        <v>148669</v>
      </c>
      <c r="G7" s="108"/>
      <c r="H7" s="108">
        <f>6326100+5919959</f>
        <v>12246059</v>
      </c>
      <c r="I7" s="108"/>
      <c r="J7" s="108"/>
      <c r="K7" s="108"/>
      <c r="L7" s="108">
        <v>57492</v>
      </c>
      <c r="M7" s="108">
        <v>5420</v>
      </c>
      <c r="N7" s="108">
        <v>1590</v>
      </c>
      <c r="O7" s="108"/>
      <c r="P7" s="108"/>
      <c r="Q7" s="108">
        <v>59184</v>
      </c>
      <c r="R7" s="108"/>
      <c r="S7" s="108">
        <v>472900</v>
      </c>
      <c r="T7" s="108">
        <v>156500</v>
      </c>
      <c r="U7" s="108">
        <v>1990204</v>
      </c>
      <c r="V7" s="108">
        <v>1031</v>
      </c>
      <c r="W7" s="108"/>
      <c r="X7" s="108">
        <v>15004</v>
      </c>
      <c r="Y7" s="108">
        <v>7159</v>
      </c>
      <c r="Z7" s="108"/>
      <c r="AA7" s="108"/>
      <c r="AB7" s="108"/>
      <c r="AC7" s="108">
        <v>3375300</v>
      </c>
      <c r="AD7" s="108"/>
      <c r="AE7" s="108">
        <v>22482896</v>
      </c>
      <c r="AF7" s="108">
        <v>13427541</v>
      </c>
      <c r="AG7" s="36">
        <v>11055669</v>
      </c>
      <c r="AH7" s="108"/>
      <c r="AI7" s="81">
        <f t="shared" si="0"/>
        <v>94369699</v>
      </c>
    </row>
    <row r="8" spans="1:35" x14ac:dyDescent="0.25">
      <c r="A8" s="2" t="s">
        <v>83</v>
      </c>
      <c r="B8" s="108"/>
      <c r="C8" s="108">
        <f>3200+457</f>
        <v>3657</v>
      </c>
      <c r="D8" s="60"/>
      <c r="E8" s="108"/>
      <c r="F8" s="108"/>
      <c r="G8" s="108"/>
      <c r="H8" s="108">
        <f>2056100+200000</f>
        <v>2256100</v>
      </c>
      <c r="I8" s="108"/>
      <c r="J8" s="108">
        <v>1885</v>
      </c>
      <c r="K8" s="108"/>
      <c r="L8" s="108"/>
      <c r="M8" s="108">
        <v>7000</v>
      </c>
      <c r="N8" s="108"/>
      <c r="O8" s="108"/>
      <c r="P8" s="108">
        <v>10000</v>
      </c>
      <c r="Q8" s="108"/>
      <c r="R8" s="108"/>
      <c r="S8" s="108">
        <v>2500</v>
      </c>
      <c r="T8" s="108"/>
      <c r="U8" s="108"/>
      <c r="V8" s="108"/>
      <c r="W8" s="108"/>
      <c r="X8" s="108"/>
      <c r="Y8" s="108">
        <v>4524</v>
      </c>
      <c r="Z8" s="108"/>
      <c r="AA8" s="108"/>
      <c r="AB8" s="108"/>
      <c r="AC8" s="108">
        <v>400000</v>
      </c>
      <c r="AD8" s="108"/>
      <c r="AE8" s="108">
        <v>59310656</v>
      </c>
      <c r="AF8" s="108"/>
      <c r="AG8" s="108"/>
      <c r="AH8" s="108"/>
      <c r="AI8" s="81">
        <f t="shared" si="0"/>
        <v>61996322</v>
      </c>
    </row>
    <row r="9" spans="1:35" x14ac:dyDescent="0.25">
      <c r="A9" s="2" t="s">
        <v>84</v>
      </c>
      <c r="B9" s="108">
        <v>20831</v>
      </c>
      <c r="C9" s="108">
        <v>544877</v>
      </c>
      <c r="D9" s="60">
        <v>794524</v>
      </c>
      <c r="E9" s="108">
        <v>3573408</v>
      </c>
      <c r="F9" s="108">
        <v>91669</v>
      </c>
      <c r="G9" s="108">
        <v>352351</v>
      </c>
      <c r="H9" s="108">
        <v>114445.62</v>
      </c>
      <c r="I9" s="108">
        <v>30241</v>
      </c>
      <c r="J9" s="108">
        <v>1261697</v>
      </c>
      <c r="K9" s="108">
        <v>461999</v>
      </c>
      <c r="L9" s="108">
        <v>2512889</v>
      </c>
      <c r="M9" s="108">
        <v>341132</v>
      </c>
      <c r="N9" s="108">
        <v>238356</v>
      </c>
      <c r="O9" s="108">
        <v>1114519</v>
      </c>
      <c r="P9" s="108">
        <v>91538</v>
      </c>
      <c r="Q9" s="108">
        <v>78329</v>
      </c>
      <c r="R9" s="108">
        <v>141801</v>
      </c>
      <c r="S9" s="108">
        <v>111323</v>
      </c>
      <c r="T9" s="108">
        <v>47264</v>
      </c>
      <c r="U9" s="108">
        <v>14154362</v>
      </c>
      <c r="V9" s="108">
        <v>37854</v>
      </c>
      <c r="W9" s="108">
        <v>57894</v>
      </c>
      <c r="X9" s="108">
        <v>700705</v>
      </c>
      <c r="Y9" s="108">
        <v>356970</v>
      </c>
      <c r="Z9" s="108">
        <v>482449</v>
      </c>
      <c r="AA9" s="108">
        <v>417833</v>
      </c>
      <c r="AB9" s="108">
        <v>664514</v>
      </c>
      <c r="AC9" s="108">
        <v>1903332</v>
      </c>
      <c r="AD9" s="108">
        <v>1996507</v>
      </c>
      <c r="AE9" s="108">
        <v>12654123</v>
      </c>
      <c r="AF9" s="108">
        <v>11623869</v>
      </c>
      <c r="AG9" s="36">
        <v>4111022</v>
      </c>
      <c r="AH9" s="108">
        <v>698789</v>
      </c>
      <c r="AI9" s="81">
        <f t="shared" si="0"/>
        <v>61783416.620000005</v>
      </c>
    </row>
    <row r="10" spans="1:35" x14ac:dyDescent="0.25">
      <c r="A10" s="2" t="s">
        <v>85</v>
      </c>
      <c r="B10" s="108"/>
      <c r="C10" s="108"/>
      <c r="D10" s="60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>
        <v>188661</v>
      </c>
      <c r="Y10" s="108"/>
      <c r="Z10" s="108"/>
      <c r="AA10" s="108"/>
      <c r="AB10" s="108">
        <v>18616</v>
      </c>
      <c r="AC10" s="108"/>
      <c r="AD10" s="108"/>
      <c r="AE10" s="108"/>
      <c r="AF10" s="108"/>
      <c r="AG10" s="108"/>
      <c r="AH10" s="108"/>
      <c r="AI10" s="81">
        <f t="shared" si="0"/>
        <v>207277</v>
      </c>
    </row>
    <row r="11" spans="1:35" x14ac:dyDescent="0.25">
      <c r="A11" s="2" t="s">
        <v>86</v>
      </c>
      <c r="B11" s="108"/>
      <c r="C11" s="108"/>
      <c r="D11" s="60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81">
        <f t="shared" si="0"/>
        <v>0</v>
      </c>
    </row>
    <row r="12" spans="1:35" x14ac:dyDescent="0.25">
      <c r="A12" s="2" t="s">
        <v>87</v>
      </c>
      <c r="B12" s="108"/>
      <c r="C12" s="108"/>
      <c r="D12" s="60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81">
        <f t="shared" si="0"/>
        <v>0</v>
      </c>
    </row>
    <row r="13" spans="1:35" x14ac:dyDescent="0.25">
      <c r="A13" s="2" t="s">
        <v>88</v>
      </c>
      <c r="B13" s="108"/>
      <c r="C13" s="108"/>
      <c r="D13" s="60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81">
        <f t="shared" si="0"/>
        <v>0</v>
      </c>
    </row>
    <row r="14" spans="1:35" x14ac:dyDescent="0.25">
      <c r="A14" s="2" t="s">
        <v>89</v>
      </c>
      <c r="B14" s="108"/>
      <c r="C14" s="108"/>
      <c r="D14" s="60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>
        <v>20716181</v>
      </c>
      <c r="AF14" s="108"/>
      <c r="AG14" s="36">
        <v>2275800</v>
      </c>
      <c r="AH14" s="108"/>
      <c r="AI14" s="81">
        <f t="shared" si="0"/>
        <v>22991981</v>
      </c>
    </row>
    <row r="15" spans="1:35" x14ac:dyDescent="0.25">
      <c r="A15" s="2" t="s">
        <v>32</v>
      </c>
      <c r="B15" s="108">
        <f>B16-B14-B13-B12-B11-B10-B9-B8-B7-B6-B5-B4</f>
        <v>10213</v>
      </c>
      <c r="C15" s="108">
        <f t="shared" ref="C15:AH15" si="1">C16-C14-C13-C12-C11-C10-C9-C8-C7-C6-C5-C4</f>
        <v>0</v>
      </c>
      <c r="D15" s="60">
        <f t="shared" si="1"/>
        <v>49577100</v>
      </c>
      <c r="E15" s="108">
        <f t="shared" si="1"/>
        <v>0</v>
      </c>
      <c r="F15" s="108">
        <f t="shared" si="1"/>
        <v>0</v>
      </c>
      <c r="G15" s="108">
        <f t="shared" si="1"/>
        <v>56137</v>
      </c>
      <c r="H15" s="108">
        <f t="shared" si="1"/>
        <v>100.00000000163914</v>
      </c>
      <c r="I15" s="108">
        <f t="shared" si="1"/>
        <v>0</v>
      </c>
      <c r="J15" s="108">
        <f t="shared" si="1"/>
        <v>0</v>
      </c>
      <c r="K15" s="108">
        <f t="shared" si="1"/>
        <v>0</v>
      </c>
      <c r="L15" s="108">
        <f t="shared" si="1"/>
        <v>0</v>
      </c>
      <c r="M15" s="108">
        <f t="shared" si="1"/>
        <v>0</v>
      </c>
      <c r="N15" s="108">
        <f t="shared" si="1"/>
        <v>0</v>
      </c>
      <c r="O15" s="108">
        <f t="shared" si="1"/>
        <v>0</v>
      </c>
      <c r="P15" s="108">
        <f t="shared" si="1"/>
        <v>0</v>
      </c>
      <c r="Q15" s="108">
        <f t="shared" si="1"/>
        <v>0</v>
      </c>
      <c r="R15" s="108">
        <f t="shared" si="1"/>
        <v>0</v>
      </c>
      <c r="S15" s="108">
        <f t="shared" si="1"/>
        <v>0</v>
      </c>
      <c r="T15" s="108">
        <f t="shared" si="1"/>
        <v>0</v>
      </c>
      <c r="U15" s="108">
        <f t="shared" si="1"/>
        <v>290</v>
      </c>
      <c r="V15" s="108">
        <f t="shared" si="1"/>
        <v>0</v>
      </c>
      <c r="W15" s="108">
        <f t="shared" si="1"/>
        <v>-1</v>
      </c>
      <c r="X15" s="108">
        <f t="shared" si="1"/>
        <v>0</v>
      </c>
      <c r="Y15" s="108">
        <f t="shared" si="1"/>
        <v>0</v>
      </c>
      <c r="Z15" s="108">
        <f t="shared" si="1"/>
        <v>0</v>
      </c>
      <c r="AA15" s="108">
        <f t="shared" si="1"/>
        <v>0</v>
      </c>
      <c r="AB15" s="108">
        <f t="shared" si="1"/>
        <v>0</v>
      </c>
      <c r="AC15" s="108">
        <f t="shared" si="1"/>
        <v>0</v>
      </c>
      <c r="AD15" s="108">
        <f t="shared" si="1"/>
        <v>0</v>
      </c>
      <c r="AE15" s="108">
        <f t="shared" si="1"/>
        <v>2</v>
      </c>
      <c r="AF15" s="108">
        <f t="shared" si="1"/>
        <v>0</v>
      </c>
      <c r="AG15" s="108">
        <f t="shared" si="1"/>
        <v>0</v>
      </c>
      <c r="AH15" s="108">
        <f t="shared" si="1"/>
        <v>0</v>
      </c>
      <c r="AI15" s="81">
        <f t="shared" si="0"/>
        <v>49643841</v>
      </c>
    </row>
    <row r="16" spans="1:35" s="8" customFormat="1" x14ac:dyDescent="0.25">
      <c r="A16" s="3" t="s">
        <v>42</v>
      </c>
      <c r="B16" s="11">
        <v>31441</v>
      </c>
      <c r="C16" s="11">
        <v>551430</v>
      </c>
      <c r="D16" s="62">
        <v>77699352</v>
      </c>
      <c r="E16" s="11">
        <v>5516527</v>
      </c>
      <c r="F16" s="11">
        <v>242892</v>
      </c>
      <c r="G16" s="11">
        <v>457768</v>
      </c>
      <c r="H16" s="11">
        <v>14617096.130000001</v>
      </c>
      <c r="I16" s="11">
        <v>32497</v>
      </c>
      <c r="J16" s="11">
        <v>1302450</v>
      </c>
      <c r="K16" s="11">
        <v>724567</v>
      </c>
      <c r="L16" s="11">
        <v>2753365</v>
      </c>
      <c r="M16" s="11">
        <v>358272</v>
      </c>
      <c r="N16" s="11">
        <v>268531</v>
      </c>
      <c r="O16" s="11">
        <v>1128827</v>
      </c>
      <c r="P16" s="11">
        <v>137844</v>
      </c>
      <c r="Q16" s="11">
        <v>186421</v>
      </c>
      <c r="R16" s="11">
        <v>147270</v>
      </c>
      <c r="S16" s="11">
        <v>593445</v>
      </c>
      <c r="T16" s="11">
        <v>210483</v>
      </c>
      <c r="U16" s="11">
        <v>16254153</v>
      </c>
      <c r="V16" s="11">
        <v>42436</v>
      </c>
      <c r="W16" s="11">
        <v>58005</v>
      </c>
      <c r="X16" s="11">
        <v>912198</v>
      </c>
      <c r="Y16" s="11">
        <v>388158</v>
      </c>
      <c r="Z16" s="11">
        <v>498367</v>
      </c>
      <c r="AA16" s="11">
        <v>482890</v>
      </c>
      <c r="AB16" s="11">
        <v>693777</v>
      </c>
      <c r="AC16" s="11">
        <v>6060417</v>
      </c>
      <c r="AD16" s="11">
        <v>2103468</v>
      </c>
      <c r="AE16" s="11">
        <v>115185088</v>
      </c>
      <c r="AF16" s="11">
        <v>25087649</v>
      </c>
      <c r="AG16" s="11">
        <v>17845830</v>
      </c>
      <c r="AH16" s="11">
        <v>704979</v>
      </c>
      <c r="AI16" s="80">
        <f t="shared" si="0"/>
        <v>293277893.13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43.140625" style="7" customWidth="1"/>
    <col min="2" max="34" width="16" style="7" customWidth="1"/>
    <col min="35" max="35" width="16" style="8" customWidth="1"/>
    <col min="36" max="16384" width="9.140625" style="7"/>
  </cols>
  <sheetData>
    <row r="1" spans="1:35" ht="18.75" x14ac:dyDescent="0.3">
      <c r="A1" s="17" t="s">
        <v>305</v>
      </c>
    </row>
    <row r="2" spans="1:35" x14ac:dyDescent="0.25">
      <c r="A2" s="18" t="s">
        <v>34</v>
      </c>
    </row>
    <row r="3" spans="1:35" x14ac:dyDescent="0.25">
      <c r="A3" s="1" t="s">
        <v>0</v>
      </c>
      <c r="B3" s="94" t="s">
        <v>1</v>
      </c>
      <c r="C3" s="94" t="s">
        <v>285</v>
      </c>
      <c r="D3" s="94" t="s">
        <v>2</v>
      </c>
      <c r="E3" s="94" t="s">
        <v>3</v>
      </c>
      <c r="F3" s="94" t="s">
        <v>4</v>
      </c>
      <c r="G3" s="94" t="s">
        <v>286</v>
      </c>
      <c r="H3" s="94" t="s">
        <v>6</v>
      </c>
      <c r="I3" s="94" t="s">
        <v>5</v>
      </c>
      <c r="J3" s="94" t="s">
        <v>7</v>
      </c>
      <c r="K3" s="94" t="s">
        <v>287</v>
      </c>
      <c r="L3" s="94" t="s">
        <v>8</v>
      </c>
      <c r="M3" s="94" t="s">
        <v>288</v>
      </c>
      <c r="N3" s="94" t="s">
        <v>9</v>
      </c>
      <c r="O3" s="94" t="s">
        <v>10</v>
      </c>
      <c r="P3" s="94" t="s">
        <v>289</v>
      </c>
      <c r="Q3" s="94" t="s">
        <v>11</v>
      </c>
      <c r="R3" s="94" t="s">
        <v>12</v>
      </c>
      <c r="S3" s="94" t="s">
        <v>290</v>
      </c>
      <c r="T3" s="94" t="s">
        <v>299</v>
      </c>
      <c r="U3" s="94" t="s">
        <v>13</v>
      </c>
      <c r="V3" s="94" t="s">
        <v>291</v>
      </c>
      <c r="W3" s="94" t="s">
        <v>292</v>
      </c>
      <c r="X3" s="94" t="s">
        <v>307</v>
      </c>
      <c r="Y3" s="94" t="s">
        <v>293</v>
      </c>
      <c r="Z3" s="94" t="s">
        <v>14</v>
      </c>
      <c r="AA3" s="94" t="s">
        <v>15</v>
      </c>
      <c r="AB3" s="94" t="s">
        <v>16</v>
      </c>
      <c r="AC3" s="94" t="s">
        <v>17</v>
      </c>
      <c r="AD3" s="94" t="s">
        <v>18</v>
      </c>
      <c r="AE3" s="102" t="s">
        <v>294</v>
      </c>
      <c r="AF3" s="113" t="s">
        <v>295</v>
      </c>
      <c r="AG3" s="113" t="s">
        <v>19</v>
      </c>
      <c r="AH3" s="94" t="s">
        <v>20</v>
      </c>
      <c r="AI3" s="112" t="s">
        <v>21</v>
      </c>
    </row>
    <row r="4" spans="1:35" x14ac:dyDescent="0.25">
      <c r="A4" s="2" t="s">
        <v>90</v>
      </c>
      <c r="B4" s="108">
        <v>27804</v>
      </c>
      <c r="C4" s="108">
        <v>152458</v>
      </c>
      <c r="D4" s="108"/>
      <c r="E4" s="108">
        <v>984897</v>
      </c>
      <c r="F4" s="108">
        <v>171444</v>
      </c>
      <c r="G4" s="108">
        <v>245453</v>
      </c>
      <c r="H4" s="108"/>
      <c r="I4" s="108">
        <v>2885</v>
      </c>
      <c r="J4" s="108">
        <v>140006</v>
      </c>
      <c r="K4" s="108">
        <v>329649</v>
      </c>
      <c r="L4" s="108">
        <v>287673</v>
      </c>
      <c r="M4" s="108">
        <v>202347</v>
      </c>
      <c r="N4" s="108">
        <v>93515</v>
      </c>
      <c r="O4" s="108">
        <v>620315</v>
      </c>
      <c r="P4" s="108">
        <v>27430</v>
      </c>
      <c r="Q4" s="108">
        <v>182090</v>
      </c>
      <c r="R4" s="108">
        <v>28800</v>
      </c>
      <c r="S4" s="108">
        <v>59030</v>
      </c>
      <c r="T4" s="108">
        <v>112384</v>
      </c>
      <c r="U4" s="108">
        <v>1303704</v>
      </c>
      <c r="V4" s="108">
        <v>18638</v>
      </c>
      <c r="W4" s="108">
        <v>52249</v>
      </c>
      <c r="X4" s="108">
        <v>256250</v>
      </c>
      <c r="Y4" s="108">
        <v>171181</v>
      </c>
      <c r="Z4" s="108">
        <v>335979</v>
      </c>
      <c r="AA4" s="108">
        <v>472949</v>
      </c>
      <c r="AB4" s="108">
        <v>139852</v>
      </c>
      <c r="AC4" s="108">
        <v>239016</v>
      </c>
      <c r="AD4" s="108">
        <v>882956</v>
      </c>
      <c r="AE4" s="108">
        <v>1804403</v>
      </c>
      <c r="AF4" s="108">
        <v>1219993</v>
      </c>
      <c r="AG4" s="36">
        <v>1069708</v>
      </c>
      <c r="AH4" s="108">
        <v>110372</v>
      </c>
      <c r="AI4" s="81">
        <f t="shared" ref="AI4:AI15" si="0">SUM(B4:AH4)</f>
        <v>11745430</v>
      </c>
    </row>
    <row r="5" spans="1:35" ht="15" customHeight="1" x14ac:dyDescent="0.25">
      <c r="A5" s="2" t="s">
        <v>91</v>
      </c>
      <c r="B5" s="108">
        <v>402102</v>
      </c>
      <c r="C5" s="108">
        <v>1166564</v>
      </c>
      <c r="D5" s="108">
        <v>63994766</v>
      </c>
      <c r="E5" s="108">
        <v>14688180</v>
      </c>
      <c r="F5" s="108">
        <v>8555591</v>
      </c>
      <c r="G5" s="108">
        <v>3180866</v>
      </c>
      <c r="H5" s="108">
        <v>1332091.6299999999</v>
      </c>
      <c r="I5" s="108">
        <v>128875</v>
      </c>
      <c r="J5" s="108">
        <v>5435338</v>
      </c>
      <c r="K5" s="108">
        <v>4082282</v>
      </c>
      <c r="L5" s="108">
        <v>25118805</v>
      </c>
      <c r="M5" s="108">
        <v>1325338</v>
      </c>
      <c r="N5" s="108">
        <v>13820003</v>
      </c>
      <c r="O5" s="108">
        <v>16666563</v>
      </c>
      <c r="P5" s="108">
        <v>47571</v>
      </c>
      <c r="Q5" s="108">
        <v>690519</v>
      </c>
      <c r="R5" s="108">
        <v>538156</v>
      </c>
      <c r="S5" s="108">
        <v>2652</v>
      </c>
      <c r="T5" s="108">
        <v>936275</v>
      </c>
      <c r="U5" s="108">
        <v>34442272</v>
      </c>
      <c r="V5" s="108">
        <v>17414</v>
      </c>
      <c r="W5" s="108">
        <v>168714</v>
      </c>
      <c r="X5" s="108">
        <v>21197388</v>
      </c>
      <c r="Y5" s="108">
        <v>108677</v>
      </c>
      <c r="Z5" s="108">
        <v>5337290</v>
      </c>
      <c r="AA5" s="108">
        <v>14902051</v>
      </c>
      <c r="AB5" s="108">
        <v>638955</v>
      </c>
      <c r="AC5" s="108">
        <v>65089</v>
      </c>
      <c r="AD5" s="108">
        <v>12354411</v>
      </c>
      <c r="AE5" s="108">
        <v>16633765</v>
      </c>
      <c r="AF5" s="108">
        <v>10335511</v>
      </c>
      <c r="AG5" s="36">
        <v>15117024</v>
      </c>
      <c r="AH5" s="108">
        <v>7467389</v>
      </c>
      <c r="AI5" s="81">
        <f t="shared" si="0"/>
        <v>300898487.63</v>
      </c>
    </row>
    <row r="6" spans="1:35" ht="15" customHeight="1" x14ac:dyDescent="0.25">
      <c r="A6" s="2" t="s">
        <v>92</v>
      </c>
      <c r="B6" s="108"/>
      <c r="C6" s="108"/>
      <c r="D6" s="108"/>
      <c r="E6" s="108"/>
      <c r="F6" s="108">
        <v>92658</v>
      </c>
      <c r="G6" s="108"/>
      <c r="H6" s="108"/>
      <c r="I6" s="108"/>
      <c r="J6" s="108"/>
      <c r="K6" s="108">
        <v>365464</v>
      </c>
      <c r="L6" s="108"/>
      <c r="M6" s="108"/>
      <c r="N6" s="108">
        <v>132574</v>
      </c>
      <c r="O6" s="108"/>
      <c r="P6" s="108"/>
      <c r="Q6" s="108"/>
      <c r="R6" s="108">
        <v>1017656</v>
      </c>
      <c r="S6" s="108"/>
      <c r="T6" s="108"/>
      <c r="U6" s="108">
        <v>18021805</v>
      </c>
      <c r="V6" s="108"/>
      <c r="W6" s="108"/>
      <c r="X6" s="108"/>
      <c r="Y6" s="108"/>
      <c r="Z6" s="108"/>
      <c r="AA6" s="108"/>
      <c r="AB6" s="108">
        <v>2468</v>
      </c>
      <c r="AC6" s="108"/>
      <c r="AD6" s="108"/>
      <c r="AE6" s="108">
        <v>1018807</v>
      </c>
      <c r="AF6" s="108">
        <v>726920</v>
      </c>
      <c r="AG6" s="36">
        <v>4822</v>
      </c>
      <c r="AH6" s="108"/>
      <c r="AI6" s="81">
        <f t="shared" si="0"/>
        <v>21383174</v>
      </c>
    </row>
    <row r="7" spans="1:35" ht="15" customHeight="1" x14ac:dyDescent="0.25">
      <c r="A7" s="2" t="s">
        <v>93</v>
      </c>
      <c r="B7" s="108">
        <v>486522</v>
      </c>
      <c r="C7" s="108">
        <v>65929</v>
      </c>
      <c r="D7" s="108"/>
      <c r="E7" s="108">
        <v>10902667</v>
      </c>
      <c r="F7" s="108">
        <v>4913592</v>
      </c>
      <c r="G7" s="108">
        <v>7270635</v>
      </c>
      <c r="H7" s="108">
        <v>2679474.92</v>
      </c>
      <c r="I7" s="108">
        <v>59115</v>
      </c>
      <c r="J7" s="108">
        <v>1213285</v>
      </c>
      <c r="K7" s="108">
        <v>153217</v>
      </c>
      <c r="L7" s="108">
        <v>7856402</v>
      </c>
      <c r="M7" s="108">
        <v>194728</v>
      </c>
      <c r="N7" s="108">
        <v>31847512</v>
      </c>
      <c r="O7" s="108">
        <v>8179095</v>
      </c>
      <c r="P7" s="108">
        <v>283666</v>
      </c>
      <c r="Q7" s="108">
        <v>4552491</v>
      </c>
      <c r="R7" s="108">
        <v>2829453</v>
      </c>
      <c r="S7" s="108">
        <v>130745</v>
      </c>
      <c r="T7" s="108">
        <v>95575</v>
      </c>
      <c r="U7" s="108">
        <v>10620748</v>
      </c>
      <c r="V7" s="108">
        <v>169615</v>
      </c>
      <c r="W7" s="108">
        <v>27943</v>
      </c>
      <c r="X7" s="108">
        <v>6602544</v>
      </c>
      <c r="Y7" s="108">
        <v>494942</v>
      </c>
      <c r="Z7" s="108">
        <v>1777213</v>
      </c>
      <c r="AA7" s="108">
        <v>2579384</v>
      </c>
      <c r="AB7" s="108">
        <v>3590485</v>
      </c>
      <c r="AC7" s="108">
        <v>1198713</v>
      </c>
      <c r="AD7" s="108">
        <v>14165621</v>
      </c>
      <c r="AE7" s="108">
        <v>9693273</v>
      </c>
      <c r="AF7" s="108">
        <v>5365934</v>
      </c>
      <c r="AG7" s="36">
        <v>3350281</v>
      </c>
      <c r="AH7" s="108">
        <v>1773528</v>
      </c>
      <c r="AI7" s="81">
        <f t="shared" si="0"/>
        <v>145124327.92000002</v>
      </c>
    </row>
    <row r="8" spans="1:35" ht="15" customHeight="1" x14ac:dyDescent="0.25">
      <c r="A8" s="2" t="s">
        <v>94</v>
      </c>
      <c r="B8" s="108"/>
      <c r="C8" s="108">
        <v>535042</v>
      </c>
      <c r="D8" s="108"/>
      <c r="E8" s="108">
        <v>2381189</v>
      </c>
      <c r="F8" s="108">
        <v>1080001</v>
      </c>
      <c r="G8" s="108">
        <v>754812</v>
      </c>
      <c r="H8" s="108">
        <v>720076.51</v>
      </c>
      <c r="I8" s="108">
        <v>39331</v>
      </c>
      <c r="J8" s="108">
        <v>1598676</v>
      </c>
      <c r="K8" s="108">
        <v>4954878</v>
      </c>
      <c r="L8" s="108">
        <v>4246914</v>
      </c>
      <c r="M8" s="108">
        <v>405407</v>
      </c>
      <c r="N8" s="108">
        <v>4560917</v>
      </c>
      <c r="O8" s="108">
        <v>843534</v>
      </c>
      <c r="P8" s="108">
        <v>144566</v>
      </c>
      <c r="Q8" s="108">
        <v>355405</v>
      </c>
      <c r="R8" s="108">
        <v>90759</v>
      </c>
      <c r="S8" s="108">
        <v>268190</v>
      </c>
      <c r="T8" s="108">
        <v>154793</v>
      </c>
      <c r="U8" s="108"/>
      <c r="V8" s="108">
        <v>89267</v>
      </c>
      <c r="W8" s="108">
        <v>4005</v>
      </c>
      <c r="X8" s="108">
        <v>3075269</v>
      </c>
      <c r="Y8" s="108">
        <v>524288</v>
      </c>
      <c r="Z8" s="108">
        <v>99719</v>
      </c>
      <c r="AA8" s="108">
        <v>1502948</v>
      </c>
      <c r="AB8" s="108">
        <v>51914</v>
      </c>
      <c r="AC8" s="108">
        <v>158479</v>
      </c>
      <c r="AD8" s="108">
        <v>1842234</v>
      </c>
      <c r="AE8" s="108">
        <v>8693226</v>
      </c>
      <c r="AF8" s="108"/>
      <c r="AG8" s="108"/>
      <c r="AH8" s="108">
        <v>68462</v>
      </c>
      <c r="AI8" s="81">
        <f t="shared" si="0"/>
        <v>39244301.509999998</v>
      </c>
    </row>
    <row r="9" spans="1:35" ht="15" customHeight="1" x14ac:dyDescent="0.25">
      <c r="A9" s="2" t="s">
        <v>95</v>
      </c>
      <c r="B9" s="108">
        <v>266957</v>
      </c>
      <c r="C9" s="108">
        <v>897230</v>
      </c>
      <c r="D9" s="108">
        <v>2736841</v>
      </c>
      <c r="E9" s="108">
        <v>5105654</v>
      </c>
      <c r="F9" s="108">
        <v>1857287</v>
      </c>
      <c r="G9" s="108">
        <v>248060</v>
      </c>
      <c r="H9" s="108">
        <v>296436.64</v>
      </c>
      <c r="I9" s="108">
        <v>236961</v>
      </c>
      <c r="J9" s="108">
        <v>1641816</v>
      </c>
      <c r="K9" s="108">
        <v>935470</v>
      </c>
      <c r="L9" s="108">
        <v>3101877</v>
      </c>
      <c r="M9" s="108">
        <v>63536</v>
      </c>
      <c r="N9" s="108">
        <v>5980579</v>
      </c>
      <c r="O9" s="108">
        <v>1207726</v>
      </c>
      <c r="P9" s="108">
        <v>117992</v>
      </c>
      <c r="Q9" s="108">
        <v>528933</v>
      </c>
      <c r="R9" s="108">
        <v>401363</v>
      </c>
      <c r="S9" s="108">
        <v>27617</v>
      </c>
      <c r="T9" s="108">
        <v>1369541</v>
      </c>
      <c r="U9" s="108">
        <v>34307186</v>
      </c>
      <c r="V9" s="108">
        <v>150152</v>
      </c>
      <c r="W9" s="108">
        <v>115477</v>
      </c>
      <c r="X9" s="108">
        <v>4341732</v>
      </c>
      <c r="Y9" s="108">
        <v>1808272</v>
      </c>
      <c r="Z9" s="108">
        <v>1635381</v>
      </c>
      <c r="AA9" s="108">
        <v>320369</v>
      </c>
      <c r="AB9" s="108">
        <v>325348</v>
      </c>
      <c r="AC9" s="108">
        <v>1929973</v>
      </c>
      <c r="AD9" s="108">
        <v>3158046</v>
      </c>
      <c r="AE9" s="108">
        <v>37819530</v>
      </c>
      <c r="AF9" s="108">
        <v>26440236</v>
      </c>
      <c r="AG9" s="36">
        <v>17959418</v>
      </c>
      <c r="AH9" s="108">
        <v>626083</v>
      </c>
      <c r="AI9" s="81">
        <f t="shared" si="0"/>
        <v>157959079.63999999</v>
      </c>
    </row>
    <row r="10" spans="1:35" ht="15" customHeight="1" x14ac:dyDescent="0.25">
      <c r="A10" s="2" t="s">
        <v>96</v>
      </c>
      <c r="B10" s="108">
        <v>34423</v>
      </c>
      <c r="C10" s="108">
        <v>36313</v>
      </c>
      <c r="D10" s="108"/>
      <c r="E10" s="108"/>
      <c r="F10" s="108"/>
      <c r="G10" s="108"/>
      <c r="H10" s="108"/>
      <c r="I10" s="108">
        <v>16936</v>
      </c>
      <c r="J10" s="108"/>
      <c r="K10" s="108">
        <v>39</v>
      </c>
      <c r="L10" s="108">
        <v>100982</v>
      </c>
      <c r="M10" s="108"/>
      <c r="N10" s="108">
        <v>140283</v>
      </c>
      <c r="O10" s="108">
        <v>3056</v>
      </c>
      <c r="P10" s="108">
        <v>19771</v>
      </c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>
        <v>199890</v>
      </c>
      <c r="AB10" s="108"/>
      <c r="AC10" s="108"/>
      <c r="AD10" s="108"/>
      <c r="AE10" s="108"/>
      <c r="AF10" s="108"/>
      <c r="AG10" s="108"/>
      <c r="AH10" s="108"/>
      <c r="AI10" s="81">
        <f t="shared" si="0"/>
        <v>551693</v>
      </c>
    </row>
    <row r="11" spans="1:35" ht="15" customHeight="1" x14ac:dyDescent="0.25">
      <c r="A11" s="2" t="s">
        <v>97</v>
      </c>
      <c r="B11" s="108">
        <v>884555</v>
      </c>
      <c r="C11" s="108">
        <v>1372953</v>
      </c>
      <c r="D11" s="108">
        <v>40848501</v>
      </c>
      <c r="E11" s="108">
        <v>96896805</v>
      </c>
      <c r="F11" s="108">
        <v>26864257</v>
      </c>
      <c r="G11" s="108">
        <v>60146791</v>
      </c>
      <c r="H11" s="108">
        <v>71016413.090000004</v>
      </c>
      <c r="I11" s="108">
        <v>1301998</v>
      </c>
      <c r="J11" s="108">
        <v>25049201</v>
      </c>
      <c r="K11" s="108">
        <v>13979271</v>
      </c>
      <c r="L11" s="108">
        <v>54481729</v>
      </c>
      <c r="M11" s="108">
        <v>4421549</v>
      </c>
      <c r="N11" s="108">
        <v>186194979</v>
      </c>
      <c r="O11" s="108">
        <v>60511207</v>
      </c>
      <c r="P11" s="108">
        <v>3047689</v>
      </c>
      <c r="Q11" s="108">
        <v>10323648</v>
      </c>
      <c r="R11" s="108">
        <v>14520152</v>
      </c>
      <c r="S11" s="108">
        <v>929972</v>
      </c>
      <c r="T11" s="108">
        <v>2057460</v>
      </c>
      <c r="U11" s="108">
        <v>190335698</v>
      </c>
      <c r="V11" s="108">
        <v>919334</v>
      </c>
      <c r="W11" s="108">
        <v>2746872</v>
      </c>
      <c r="X11" s="108">
        <f>70603314+137330</f>
        <v>70740644</v>
      </c>
      <c r="Y11" s="108">
        <v>4432700</v>
      </c>
      <c r="Z11" s="108">
        <v>37121008</v>
      </c>
      <c r="AA11" s="108">
        <v>35279473</v>
      </c>
      <c r="AB11" s="108">
        <v>68712034</v>
      </c>
      <c r="AC11" s="108">
        <v>9507892</v>
      </c>
      <c r="AD11" s="108">
        <v>62962446</v>
      </c>
      <c r="AE11" s="108">
        <v>287752579</v>
      </c>
      <c r="AF11" s="108">
        <v>151457466</v>
      </c>
      <c r="AG11" s="36">
        <v>228307672</v>
      </c>
      <c r="AH11" s="108">
        <v>15136458</v>
      </c>
      <c r="AI11" s="81">
        <f t="shared" si="0"/>
        <v>1840261406.0900002</v>
      </c>
    </row>
    <row r="12" spans="1:35" ht="15" customHeight="1" x14ac:dyDescent="0.25">
      <c r="A12" s="2" t="s">
        <v>98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>
        <v>3600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>
        <v>900</v>
      </c>
      <c r="AE12" s="108"/>
      <c r="AF12" s="108"/>
      <c r="AG12" s="108"/>
      <c r="AH12" s="108"/>
      <c r="AI12" s="81">
        <f t="shared" si="0"/>
        <v>4500</v>
      </c>
    </row>
    <row r="13" spans="1:35" ht="15" customHeight="1" x14ac:dyDescent="0.25">
      <c r="A13" s="2" t="s">
        <v>99</v>
      </c>
      <c r="B13" s="108"/>
      <c r="C13" s="108">
        <v>1116</v>
      </c>
      <c r="D13" s="108">
        <v>526349</v>
      </c>
      <c r="E13" s="108">
        <v>77483</v>
      </c>
      <c r="F13" s="108">
        <f>241288+96228</f>
        <v>337516</v>
      </c>
      <c r="G13" s="108">
        <v>40132</v>
      </c>
      <c r="H13" s="108">
        <v>18518.8</v>
      </c>
      <c r="I13" s="108">
        <v>67</v>
      </c>
      <c r="J13" s="108">
        <v>106609</v>
      </c>
      <c r="K13" s="108"/>
      <c r="L13" s="108">
        <v>335445</v>
      </c>
      <c r="M13" s="108">
        <v>31561</v>
      </c>
      <c r="N13" s="108">
        <v>3740929</v>
      </c>
      <c r="O13" s="108">
        <v>294096</v>
      </c>
      <c r="P13" s="108">
        <v>1019</v>
      </c>
      <c r="Q13" s="108">
        <v>34449</v>
      </c>
      <c r="R13" s="108">
        <v>40155</v>
      </c>
      <c r="S13" s="108">
        <f>10928+1677</f>
        <v>12605</v>
      </c>
      <c r="T13" s="108">
        <v>15920</v>
      </c>
      <c r="U13" s="108">
        <v>877572</v>
      </c>
      <c r="V13" s="108"/>
      <c r="W13" s="108">
        <v>5684</v>
      </c>
      <c r="X13" s="108">
        <v>1154799</v>
      </c>
      <c r="Y13" s="108">
        <v>19424</v>
      </c>
      <c r="Z13" s="108">
        <v>74830</v>
      </c>
      <c r="AA13" s="108">
        <v>94804</v>
      </c>
      <c r="AB13" s="108">
        <v>314983</v>
      </c>
      <c r="AC13" s="108">
        <v>97973</v>
      </c>
      <c r="AD13" s="108">
        <v>332806</v>
      </c>
      <c r="AE13" s="108">
        <v>2303999</v>
      </c>
      <c r="AF13" s="108">
        <v>1033026</v>
      </c>
      <c r="AG13" s="36">
        <v>1937395</v>
      </c>
      <c r="AH13" s="108">
        <v>61051</v>
      </c>
      <c r="AI13" s="81">
        <f t="shared" si="0"/>
        <v>13922315.800000001</v>
      </c>
    </row>
    <row r="14" spans="1:35" x14ac:dyDescent="0.25">
      <c r="A14" s="2" t="s">
        <v>32</v>
      </c>
      <c r="B14" s="108">
        <f>B15-B13-B12-B11-B10-B9-B8-B7-B6-B5-B4</f>
        <v>497360</v>
      </c>
      <c r="C14" s="108">
        <f t="shared" ref="C14:AH14" si="1">C15-C13-C12-C11-C10-C9-C8-C7-C6-C5-C4</f>
        <v>367281</v>
      </c>
      <c r="D14" s="108">
        <f t="shared" si="1"/>
        <v>36964551</v>
      </c>
      <c r="E14" s="108">
        <f t="shared" si="1"/>
        <v>3709496</v>
      </c>
      <c r="F14" s="108">
        <f t="shared" si="1"/>
        <v>1079148</v>
      </c>
      <c r="G14" s="108">
        <f t="shared" si="1"/>
        <v>1893835</v>
      </c>
      <c r="H14" s="108">
        <f t="shared" si="1"/>
        <v>580748.56999999657</v>
      </c>
      <c r="I14" s="108">
        <f t="shared" si="1"/>
        <v>15883</v>
      </c>
      <c r="J14" s="108">
        <f t="shared" si="1"/>
        <v>694119</v>
      </c>
      <c r="K14" s="108">
        <f t="shared" si="1"/>
        <v>828917</v>
      </c>
      <c r="L14" s="108">
        <f t="shared" si="1"/>
        <v>515323</v>
      </c>
      <c r="M14" s="108">
        <f t="shared" si="1"/>
        <v>650602</v>
      </c>
      <c r="N14" s="108">
        <f t="shared" si="1"/>
        <v>2228181</v>
      </c>
      <c r="O14" s="108">
        <f t="shared" si="1"/>
        <v>1202613</v>
      </c>
      <c r="P14" s="108">
        <f t="shared" si="1"/>
        <v>327700</v>
      </c>
      <c r="Q14" s="108">
        <f t="shared" si="1"/>
        <v>366507</v>
      </c>
      <c r="R14" s="108">
        <f t="shared" si="1"/>
        <v>340965</v>
      </c>
      <c r="S14" s="108">
        <f t="shared" si="1"/>
        <v>730191</v>
      </c>
      <c r="T14" s="108">
        <f t="shared" si="1"/>
        <v>358376</v>
      </c>
      <c r="U14" s="108">
        <f t="shared" si="1"/>
        <v>11804713</v>
      </c>
      <c r="V14" s="108">
        <f t="shared" si="1"/>
        <v>4415</v>
      </c>
      <c r="W14" s="108">
        <f t="shared" si="1"/>
        <v>42202</v>
      </c>
      <c r="X14" s="108">
        <f t="shared" si="1"/>
        <v>5905782</v>
      </c>
      <c r="Y14" s="108">
        <f t="shared" si="1"/>
        <v>547230</v>
      </c>
      <c r="Z14" s="108">
        <f t="shared" si="1"/>
        <v>1257839</v>
      </c>
      <c r="AA14" s="108">
        <f t="shared" si="1"/>
        <v>742257</v>
      </c>
      <c r="AB14" s="108">
        <f t="shared" si="1"/>
        <v>1102185</v>
      </c>
      <c r="AC14" s="108">
        <f t="shared" si="1"/>
        <v>2906311</v>
      </c>
      <c r="AD14" s="108">
        <f>AD15-AD13-AD12-AD11-AD10-AD9-AD8-AD7-AD6-AD5-AD4</f>
        <v>1242754</v>
      </c>
      <c r="AE14" s="108">
        <f t="shared" si="1"/>
        <v>656227</v>
      </c>
      <c r="AF14" s="108">
        <f t="shared" si="1"/>
        <v>66114560</v>
      </c>
      <c r="AG14" s="108">
        <f t="shared" si="1"/>
        <v>1330</v>
      </c>
      <c r="AH14" s="108">
        <f t="shared" si="1"/>
        <v>55278</v>
      </c>
      <c r="AI14" s="81">
        <f t="shared" si="0"/>
        <v>145734879.56999999</v>
      </c>
    </row>
    <row r="15" spans="1:35" s="8" customFormat="1" x14ac:dyDescent="0.25">
      <c r="A15" s="3" t="s">
        <v>42</v>
      </c>
      <c r="B15" s="11">
        <v>2599723</v>
      </c>
      <c r="C15" s="11">
        <v>4594886</v>
      </c>
      <c r="D15" s="11">
        <v>145071008</v>
      </c>
      <c r="E15" s="11">
        <v>134746371</v>
      </c>
      <c r="F15" s="11">
        <v>44951494</v>
      </c>
      <c r="G15" s="11">
        <v>73780584</v>
      </c>
      <c r="H15" s="11">
        <v>76643760.159999996</v>
      </c>
      <c r="I15" s="11">
        <v>1802051</v>
      </c>
      <c r="J15" s="11">
        <v>35879050</v>
      </c>
      <c r="K15" s="11">
        <v>25629187</v>
      </c>
      <c r="L15" s="11">
        <v>96048750</v>
      </c>
      <c r="M15" s="11">
        <v>7295068</v>
      </c>
      <c r="N15" s="11">
        <v>248739472</v>
      </c>
      <c r="O15" s="11">
        <v>89528205</v>
      </c>
      <c r="P15" s="11">
        <v>4017404</v>
      </c>
      <c r="Q15" s="11">
        <v>17034042</v>
      </c>
      <c r="R15" s="11">
        <v>19807459</v>
      </c>
      <c r="S15" s="11">
        <v>2161002</v>
      </c>
      <c r="T15" s="11">
        <v>5100324</v>
      </c>
      <c r="U15" s="11">
        <v>301713698</v>
      </c>
      <c r="V15" s="11">
        <v>1368835</v>
      </c>
      <c r="W15" s="11">
        <v>3163146</v>
      </c>
      <c r="X15" s="11">
        <v>113274408</v>
      </c>
      <c r="Y15" s="11">
        <v>8106714</v>
      </c>
      <c r="Z15" s="11">
        <v>47639259</v>
      </c>
      <c r="AA15" s="11">
        <v>56094125</v>
      </c>
      <c r="AB15" s="11">
        <v>74878224</v>
      </c>
      <c r="AC15" s="11">
        <v>16103446</v>
      </c>
      <c r="AD15" s="11">
        <v>96942174</v>
      </c>
      <c r="AE15" s="11">
        <v>366375809</v>
      </c>
      <c r="AF15" s="11">
        <v>262693646</v>
      </c>
      <c r="AG15" s="11">
        <v>267747650</v>
      </c>
      <c r="AH15" s="11">
        <v>25298621</v>
      </c>
      <c r="AI15" s="80">
        <f t="shared" si="0"/>
        <v>2676829595.1599998</v>
      </c>
    </row>
    <row r="17" spans="9:17" x14ac:dyDescent="0.25">
      <c r="I17" s="95"/>
    </row>
    <row r="18" spans="9:17" x14ac:dyDescent="0.25">
      <c r="N18" s="95"/>
      <c r="O18" s="95"/>
    </row>
    <row r="19" spans="9:17" x14ac:dyDescent="0.25">
      <c r="N19" s="95"/>
      <c r="O19" s="95"/>
      <c r="Q19" s="7">
        <f>SUM(Q17:Q18)</f>
        <v>0</v>
      </c>
    </row>
    <row r="20" spans="9:17" x14ac:dyDescent="0.25">
      <c r="N20" s="95"/>
    </row>
    <row r="21" spans="9:17" x14ac:dyDescent="0.25">
      <c r="N21" s="95"/>
    </row>
    <row r="22" spans="9:17" x14ac:dyDescent="0.25">
      <c r="N22" s="95"/>
    </row>
  </sheetData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6.5703125" style="52" bestFit="1" customWidth="1"/>
    <col min="2" max="2" width="12.85546875" style="7" customWidth="1"/>
    <col min="3" max="5" width="12.85546875" style="52" customWidth="1"/>
    <col min="6" max="6" width="12.85546875" style="55" customWidth="1"/>
    <col min="7" max="7" width="12.85546875" style="95" customWidth="1"/>
    <col min="8" max="10" width="12.85546875" style="52" customWidth="1"/>
    <col min="11" max="11" width="12.85546875" style="55" customWidth="1"/>
    <col min="12" max="12" width="12.85546875" style="95" customWidth="1"/>
    <col min="13" max="16" width="12.85546875" style="52" customWidth="1"/>
    <col min="17" max="17" width="12.85546875" style="7" customWidth="1"/>
    <col min="18" max="20" width="12.85546875" style="52" customWidth="1"/>
    <col min="21" max="21" width="12.85546875" style="55" customWidth="1"/>
    <col min="22" max="22" width="12.85546875" style="7" customWidth="1"/>
    <col min="23" max="25" width="12.85546875" style="52" customWidth="1"/>
    <col min="26" max="26" width="12.85546875" style="55" customWidth="1"/>
    <col min="27" max="27" width="12.85546875" style="7" customWidth="1"/>
    <col min="28" max="30" width="12.85546875" style="52" customWidth="1"/>
    <col min="31" max="31" width="12.85546875" style="55" customWidth="1"/>
    <col min="32" max="32" width="12.85546875" style="7" customWidth="1"/>
    <col min="33" max="35" width="12.85546875" style="52" customWidth="1"/>
    <col min="36" max="36" width="12.85546875" style="55" customWidth="1"/>
    <col min="37" max="40" width="12.85546875" style="52" customWidth="1"/>
    <col min="41" max="41" width="12.85546875" style="55" customWidth="1"/>
    <col min="42" max="42" width="12.85546875" style="7" customWidth="1"/>
    <col min="43" max="45" width="12.85546875" style="52" customWidth="1"/>
    <col min="46" max="46" width="12.85546875" style="55" customWidth="1"/>
    <col min="47" max="47" width="12.85546875" style="7" customWidth="1"/>
    <col min="48" max="50" width="12.85546875" style="52" customWidth="1"/>
    <col min="51" max="51" width="12.85546875" style="55" customWidth="1"/>
    <col min="52" max="52" width="12.85546875" style="7" customWidth="1"/>
    <col min="53" max="55" width="12.85546875" style="52" customWidth="1"/>
    <col min="56" max="56" width="12.85546875" style="55" customWidth="1"/>
    <col min="57" max="57" width="12.85546875" style="7" customWidth="1"/>
    <col min="58" max="60" width="12.85546875" style="52" customWidth="1"/>
    <col min="61" max="61" width="12.85546875" style="55" customWidth="1"/>
    <col min="62" max="62" width="12.85546875" style="7" customWidth="1"/>
    <col min="63" max="65" width="12.85546875" style="52" customWidth="1"/>
    <col min="66" max="66" width="12.85546875" style="55" customWidth="1"/>
    <col min="67" max="67" width="12.85546875" style="7" customWidth="1"/>
    <col min="68" max="70" width="12.85546875" style="52" customWidth="1"/>
    <col min="71" max="71" width="12.85546875" style="55" customWidth="1"/>
    <col min="72" max="72" width="12.85546875" style="95" customWidth="1"/>
    <col min="73" max="75" width="12.85546875" style="52" customWidth="1"/>
    <col min="76" max="76" width="12.85546875" style="55" customWidth="1"/>
    <col min="77" max="77" width="12.85546875" style="7" customWidth="1"/>
    <col min="78" max="80" width="12.85546875" style="52" customWidth="1"/>
    <col min="81" max="81" width="12.85546875" style="55" customWidth="1"/>
    <col min="82" max="82" width="12.85546875" style="7" customWidth="1"/>
    <col min="83" max="85" width="12.85546875" style="52" customWidth="1"/>
    <col min="86" max="86" width="12.85546875" style="55" customWidth="1"/>
    <col min="87" max="87" width="12.85546875" style="95" customWidth="1"/>
    <col min="88" max="90" width="12.85546875" style="52" customWidth="1"/>
    <col min="91" max="91" width="12.85546875" style="55" customWidth="1"/>
    <col min="92" max="92" width="12.85546875" style="7" customWidth="1"/>
    <col min="93" max="95" width="12.85546875" style="52" customWidth="1"/>
    <col min="96" max="96" width="12.85546875" style="55" customWidth="1"/>
    <col min="97" max="97" width="12.85546875" style="7" customWidth="1"/>
    <col min="98" max="100" width="12.85546875" style="52" customWidth="1"/>
    <col min="101" max="101" width="12.85546875" style="55" customWidth="1"/>
    <col min="102" max="102" width="12.85546875" style="95" customWidth="1"/>
    <col min="103" max="106" width="12.85546875" style="52" customWidth="1"/>
    <col min="107" max="107" width="12.85546875" style="7" customWidth="1"/>
    <col min="108" max="110" width="12.85546875" style="52" customWidth="1"/>
    <col min="111" max="111" width="12.85546875" style="55" customWidth="1"/>
    <col min="112" max="112" width="12.85546875" style="95" customWidth="1"/>
    <col min="113" max="116" width="12.85546875" style="52" customWidth="1"/>
    <col min="117" max="117" width="12.85546875" style="7" customWidth="1"/>
    <col min="118" max="121" width="12.85546875" style="52" customWidth="1"/>
    <col min="122" max="122" width="12.85546875" style="7" customWidth="1"/>
    <col min="123" max="125" width="12.85546875" style="52" customWidth="1"/>
    <col min="126" max="126" width="12.85546875" style="55" customWidth="1"/>
    <col min="127" max="127" width="12.85546875" style="74" customWidth="1"/>
    <col min="128" max="131" width="12.85546875" style="55" customWidth="1"/>
    <col min="132" max="132" width="12.85546875" style="7" customWidth="1"/>
    <col min="133" max="136" width="12.85546875" style="52" customWidth="1"/>
    <col min="137" max="137" width="12.85546875" style="7" customWidth="1"/>
    <col min="138" max="140" width="12.85546875" style="52" customWidth="1"/>
    <col min="141" max="141" width="12.85546875" style="55" customWidth="1"/>
    <col min="142" max="142" width="12.85546875" style="7" customWidth="1"/>
    <col min="143" max="145" width="12.85546875" style="52" customWidth="1"/>
    <col min="146" max="146" width="12.85546875" style="55" customWidth="1"/>
    <col min="147" max="147" width="12.85546875" style="7" customWidth="1"/>
    <col min="148" max="150" width="12.85546875" style="52" customWidth="1"/>
    <col min="151" max="151" width="12.85546875" style="55" customWidth="1"/>
    <col min="152" max="155" width="12.85546875" style="52" customWidth="1"/>
    <col min="156" max="156" width="12.85546875" style="55" customWidth="1"/>
    <col min="157" max="157" width="12.85546875" style="7" customWidth="1"/>
    <col min="158" max="160" width="12.85546875" style="52" customWidth="1"/>
    <col min="161" max="161" width="12.85546875" style="55" customWidth="1"/>
    <col min="162" max="162" width="12.85546875" style="7" customWidth="1"/>
    <col min="163" max="165" width="12.85546875" style="52" customWidth="1"/>
    <col min="166" max="166" width="12.85546875" style="55" customWidth="1"/>
    <col min="167" max="16384" width="9.140625" style="52"/>
  </cols>
  <sheetData>
    <row r="1" spans="1:166" ht="34.5" x14ac:dyDescent="0.25">
      <c r="A1" s="65" t="s">
        <v>272</v>
      </c>
    </row>
    <row r="2" spans="1:166" x14ac:dyDescent="0.25">
      <c r="A2" s="53" t="s">
        <v>0</v>
      </c>
      <c r="B2" s="123" t="s">
        <v>1</v>
      </c>
      <c r="C2" s="123"/>
      <c r="D2" s="123"/>
      <c r="E2" s="123"/>
      <c r="F2" s="123"/>
      <c r="G2" s="123" t="s">
        <v>285</v>
      </c>
      <c r="H2" s="123"/>
      <c r="I2" s="123"/>
      <c r="J2" s="123"/>
      <c r="K2" s="123"/>
      <c r="L2" s="123" t="s">
        <v>2</v>
      </c>
      <c r="M2" s="123"/>
      <c r="N2" s="123"/>
      <c r="O2" s="123"/>
      <c r="P2" s="123"/>
      <c r="Q2" s="123" t="s">
        <v>3</v>
      </c>
      <c r="R2" s="123"/>
      <c r="S2" s="123"/>
      <c r="T2" s="123"/>
      <c r="U2" s="123"/>
      <c r="V2" s="123" t="s">
        <v>4</v>
      </c>
      <c r="W2" s="123"/>
      <c r="X2" s="123"/>
      <c r="Y2" s="123"/>
      <c r="Z2" s="123"/>
      <c r="AA2" s="123" t="s">
        <v>286</v>
      </c>
      <c r="AB2" s="123"/>
      <c r="AC2" s="123"/>
      <c r="AD2" s="123"/>
      <c r="AE2" s="123"/>
      <c r="AF2" s="123" t="s">
        <v>6</v>
      </c>
      <c r="AG2" s="123"/>
      <c r="AH2" s="123"/>
      <c r="AI2" s="123"/>
      <c r="AJ2" s="123"/>
      <c r="AK2" s="123" t="s">
        <v>5</v>
      </c>
      <c r="AL2" s="123"/>
      <c r="AM2" s="123"/>
      <c r="AN2" s="123"/>
      <c r="AO2" s="123"/>
      <c r="AP2" s="123" t="s">
        <v>7</v>
      </c>
      <c r="AQ2" s="123"/>
      <c r="AR2" s="123"/>
      <c r="AS2" s="123"/>
      <c r="AT2" s="123"/>
      <c r="AU2" s="123" t="s">
        <v>287</v>
      </c>
      <c r="AV2" s="123"/>
      <c r="AW2" s="123"/>
      <c r="AX2" s="123"/>
      <c r="AY2" s="123"/>
      <c r="AZ2" s="123" t="s">
        <v>8</v>
      </c>
      <c r="BA2" s="123"/>
      <c r="BB2" s="123"/>
      <c r="BC2" s="123"/>
      <c r="BD2" s="123"/>
      <c r="BE2" s="123" t="s">
        <v>288</v>
      </c>
      <c r="BF2" s="123"/>
      <c r="BG2" s="123"/>
      <c r="BH2" s="123"/>
      <c r="BI2" s="123"/>
      <c r="BJ2" s="123" t="s">
        <v>9</v>
      </c>
      <c r="BK2" s="123"/>
      <c r="BL2" s="123"/>
      <c r="BM2" s="123"/>
      <c r="BN2" s="123"/>
      <c r="BO2" s="123" t="s">
        <v>10</v>
      </c>
      <c r="BP2" s="123"/>
      <c r="BQ2" s="123"/>
      <c r="BR2" s="123"/>
      <c r="BS2" s="123"/>
      <c r="BT2" s="123" t="s">
        <v>289</v>
      </c>
      <c r="BU2" s="123"/>
      <c r="BV2" s="123"/>
      <c r="BW2" s="123"/>
      <c r="BX2" s="123"/>
      <c r="BY2" s="123" t="s">
        <v>11</v>
      </c>
      <c r="BZ2" s="123"/>
      <c r="CA2" s="123"/>
      <c r="CB2" s="123"/>
      <c r="CC2" s="123"/>
      <c r="CD2" s="123" t="s">
        <v>12</v>
      </c>
      <c r="CE2" s="123"/>
      <c r="CF2" s="123"/>
      <c r="CG2" s="123"/>
      <c r="CH2" s="123"/>
      <c r="CI2" s="123" t="s">
        <v>290</v>
      </c>
      <c r="CJ2" s="123"/>
      <c r="CK2" s="123"/>
      <c r="CL2" s="123"/>
      <c r="CM2" s="123"/>
      <c r="CN2" s="123" t="s">
        <v>299</v>
      </c>
      <c r="CO2" s="123"/>
      <c r="CP2" s="123"/>
      <c r="CQ2" s="123"/>
      <c r="CR2" s="123"/>
      <c r="CS2" s="123" t="s">
        <v>13</v>
      </c>
      <c r="CT2" s="123"/>
      <c r="CU2" s="123"/>
      <c r="CV2" s="123"/>
      <c r="CW2" s="123"/>
      <c r="CX2" s="123" t="s">
        <v>291</v>
      </c>
      <c r="CY2" s="123"/>
      <c r="CZ2" s="123"/>
      <c r="DA2" s="123"/>
      <c r="DB2" s="123"/>
      <c r="DC2" s="123" t="s">
        <v>292</v>
      </c>
      <c r="DD2" s="123"/>
      <c r="DE2" s="123"/>
      <c r="DF2" s="123"/>
      <c r="DG2" s="123"/>
      <c r="DH2" s="123" t="s">
        <v>307</v>
      </c>
      <c r="DI2" s="123"/>
      <c r="DJ2" s="123"/>
      <c r="DK2" s="123"/>
      <c r="DL2" s="123"/>
      <c r="DM2" s="123" t="s">
        <v>293</v>
      </c>
      <c r="DN2" s="123"/>
      <c r="DO2" s="123"/>
      <c r="DP2" s="123"/>
      <c r="DQ2" s="123"/>
      <c r="DR2" s="123" t="s">
        <v>14</v>
      </c>
      <c r="DS2" s="123"/>
      <c r="DT2" s="123"/>
      <c r="DU2" s="123"/>
      <c r="DV2" s="123"/>
      <c r="DW2" s="123" t="s">
        <v>15</v>
      </c>
      <c r="DX2" s="123"/>
      <c r="DY2" s="123"/>
      <c r="DZ2" s="123"/>
      <c r="EA2" s="123"/>
      <c r="EB2" s="123" t="s">
        <v>16</v>
      </c>
      <c r="EC2" s="123"/>
      <c r="ED2" s="123"/>
      <c r="EE2" s="123"/>
      <c r="EF2" s="123"/>
      <c r="EG2" s="123" t="s">
        <v>17</v>
      </c>
      <c r="EH2" s="123"/>
      <c r="EI2" s="123"/>
      <c r="EJ2" s="123"/>
      <c r="EK2" s="123"/>
      <c r="EL2" s="123" t="s">
        <v>18</v>
      </c>
      <c r="EM2" s="123"/>
      <c r="EN2" s="123"/>
      <c r="EO2" s="123"/>
      <c r="EP2" s="123"/>
      <c r="EQ2" s="123" t="s">
        <v>294</v>
      </c>
      <c r="ER2" s="123"/>
      <c r="ES2" s="123"/>
      <c r="ET2" s="123"/>
      <c r="EU2" s="123"/>
      <c r="EV2" s="123" t="s">
        <v>295</v>
      </c>
      <c r="EW2" s="123"/>
      <c r="EX2" s="123"/>
      <c r="EY2" s="123"/>
      <c r="EZ2" s="123"/>
      <c r="FA2" s="123" t="s">
        <v>19</v>
      </c>
      <c r="FB2" s="123"/>
      <c r="FC2" s="123"/>
      <c r="FD2" s="123"/>
      <c r="FE2" s="123"/>
      <c r="FF2" s="123" t="s">
        <v>20</v>
      </c>
      <c r="FG2" s="123"/>
      <c r="FH2" s="123"/>
      <c r="FI2" s="123"/>
      <c r="FJ2" s="123"/>
    </row>
    <row r="3" spans="1:166" ht="15" customHeight="1" x14ac:dyDescent="0.25">
      <c r="A3" s="125" t="s">
        <v>168</v>
      </c>
      <c r="B3" s="124" t="s">
        <v>162</v>
      </c>
      <c r="C3" s="125" t="s">
        <v>163</v>
      </c>
      <c r="D3" s="125"/>
      <c r="E3" s="125"/>
      <c r="F3" s="126" t="s">
        <v>164</v>
      </c>
      <c r="G3" s="124" t="s">
        <v>162</v>
      </c>
      <c r="H3" s="125" t="s">
        <v>163</v>
      </c>
      <c r="I3" s="125"/>
      <c r="J3" s="125"/>
      <c r="K3" s="126" t="s">
        <v>164</v>
      </c>
      <c r="L3" s="124" t="s">
        <v>162</v>
      </c>
      <c r="M3" s="125" t="s">
        <v>163</v>
      </c>
      <c r="N3" s="125"/>
      <c r="O3" s="125"/>
      <c r="P3" s="125" t="s">
        <v>164</v>
      </c>
      <c r="Q3" s="124" t="s">
        <v>162</v>
      </c>
      <c r="R3" s="125" t="s">
        <v>163</v>
      </c>
      <c r="S3" s="125"/>
      <c r="T3" s="125"/>
      <c r="U3" s="126" t="s">
        <v>164</v>
      </c>
      <c r="V3" s="124" t="s">
        <v>162</v>
      </c>
      <c r="W3" s="125" t="s">
        <v>163</v>
      </c>
      <c r="X3" s="125"/>
      <c r="Y3" s="125"/>
      <c r="Z3" s="126" t="s">
        <v>164</v>
      </c>
      <c r="AA3" s="124" t="s">
        <v>162</v>
      </c>
      <c r="AB3" s="125" t="s">
        <v>163</v>
      </c>
      <c r="AC3" s="125"/>
      <c r="AD3" s="125"/>
      <c r="AE3" s="126" t="s">
        <v>164</v>
      </c>
      <c r="AF3" s="124" t="s">
        <v>162</v>
      </c>
      <c r="AG3" s="125" t="s">
        <v>163</v>
      </c>
      <c r="AH3" s="125"/>
      <c r="AI3" s="125"/>
      <c r="AJ3" s="126" t="s">
        <v>164</v>
      </c>
      <c r="AK3" s="125" t="s">
        <v>162</v>
      </c>
      <c r="AL3" s="125" t="s">
        <v>163</v>
      </c>
      <c r="AM3" s="125"/>
      <c r="AN3" s="125"/>
      <c r="AO3" s="126" t="s">
        <v>164</v>
      </c>
      <c r="AP3" s="124" t="s">
        <v>162</v>
      </c>
      <c r="AQ3" s="125" t="s">
        <v>163</v>
      </c>
      <c r="AR3" s="125"/>
      <c r="AS3" s="125"/>
      <c r="AT3" s="126" t="s">
        <v>164</v>
      </c>
      <c r="AU3" s="124" t="s">
        <v>162</v>
      </c>
      <c r="AV3" s="125" t="s">
        <v>163</v>
      </c>
      <c r="AW3" s="125"/>
      <c r="AX3" s="125"/>
      <c r="AY3" s="126" t="s">
        <v>164</v>
      </c>
      <c r="AZ3" s="124" t="s">
        <v>162</v>
      </c>
      <c r="BA3" s="125" t="s">
        <v>163</v>
      </c>
      <c r="BB3" s="125"/>
      <c r="BC3" s="125"/>
      <c r="BD3" s="126" t="s">
        <v>164</v>
      </c>
      <c r="BE3" s="124" t="s">
        <v>162</v>
      </c>
      <c r="BF3" s="125" t="s">
        <v>163</v>
      </c>
      <c r="BG3" s="125"/>
      <c r="BH3" s="125"/>
      <c r="BI3" s="126" t="s">
        <v>164</v>
      </c>
      <c r="BJ3" s="124" t="s">
        <v>162</v>
      </c>
      <c r="BK3" s="125" t="s">
        <v>163</v>
      </c>
      <c r="BL3" s="125"/>
      <c r="BM3" s="125"/>
      <c r="BN3" s="126" t="s">
        <v>164</v>
      </c>
      <c r="BO3" s="124" t="s">
        <v>162</v>
      </c>
      <c r="BP3" s="125" t="s">
        <v>163</v>
      </c>
      <c r="BQ3" s="125"/>
      <c r="BR3" s="125"/>
      <c r="BS3" s="126" t="s">
        <v>164</v>
      </c>
      <c r="BT3" s="124" t="s">
        <v>162</v>
      </c>
      <c r="BU3" s="125" t="s">
        <v>163</v>
      </c>
      <c r="BV3" s="125"/>
      <c r="BW3" s="125"/>
      <c r="BX3" s="126" t="s">
        <v>164</v>
      </c>
      <c r="BY3" s="124" t="s">
        <v>162</v>
      </c>
      <c r="BZ3" s="125" t="s">
        <v>163</v>
      </c>
      <c r="CA3" s="125"/>
      <c r="CB3" s="125"/>
      <c r="CC3" s="126" t="s">
        <v>164</v>
      </c>
      <c r="CD3" s="124" t="s">
        <v>162</v>
      </c>
      <c r="CE3" s="125" t="s">
        <v>163</v>
      </c>
      <c r="CF3" s="125"/>
      <c r="CG3" s="125"/>
      <c r="CH3" s="126" t="s">
        <v>164</v>
      </c>
      <c r="CI3" s="124" t="s">
        <v>162</v>
      </c>
      <c r="CJ3" s="125" t="s">
        <v>163</v>
      </c>
      <c r="CK3" s="125"/>
      <c r="CL3" s="125"/>
      <c r="CM3" s="126" t="s">
        <v>164</v>
      </c>
      <c r="CN3" s="124" t="s">
        <v>162</v>
      </c>
      <c r="CO3" s="125" t="s">
        <v>163</v>
      </c>
      <c r="CP3" s="125"/>
      <c r="CQ3" s="125"/>
      <c r="CR3" s="126" t="s">
        <v>164</v>
      </c>
      <c r="CS3" s="124" t="s">
        <v>162</v>
      </c>
      <c r="CT3" s="125" t="s">
        <v>163</v>
      </c>
      <c r="CU3" s="125"/>
      <c r="CV3" s="125"/>
      <c r="CW3" s="126" t="s">
        <v>164</v>
      </c>
      <c r="CX3" s="124" t="s">
        <v>162</v>
      </c>
      <c r="CY3" s="125" t="s">
        <v>163</v>
      </c>
      <c r="CZ3" s="125"/>
      <c r="DA3" s="125"/>
      <c r="DB3" s="127" t="s">
        <v>164</v>
      </c>
      <c r="DC3" s="124" t="s">
        <v>162</v>
      </c>
      <c r="DD3" s="125" t="s">
        <v>163</v>
      </c>
      <c r="DE3" s="125"/>
      <c r="DF3" s="125"/>
      <c r="DG3" s="126" t="s">
        <v>164</v>
      </c>
      <c r="DH3" s="124" t="s">
        <v>162</v>
      </c>
      <c r="DI3" s="125" t="s">
        <v>163</v>
      </c>
      <c r="DJ3" s="125"/>
      <c r="DK3" s="125"/>
      <c r="DL3" s="127" t="s">
        <v>164</v>
      </c>
      <c r="DM3" s="124" t="s">
        <v>162</v>
      </c>
      <c r="DN3" s="125" t="s">
        <v>163</v>
      </c>
      <c r="DO3" s="125"/>
      <c r="DP3" s="125"/>
      <c r="DQ3" s="127" t="s">
        <v>164</v>
      </c>
      <c r="DR3" s="124" t="s">
        <v>162</v>
      </c>
      <c r="DS3" s="125" t="s">
        <v>163</v>
      </c>
      <c r="DT3" s="125"/>
      <c r="DU3" s="125"/>
      <c r="DV3" s="126" t="s">
        <v>164</v>
      </c>
      <c r="DW3" s="124" t="s">
        <v>162</v>
      </c>
      <c r="DX3" s="125" t="s">
        <v>163</v>
      </c>
      <c r="DY3" s="125"/>
      <c r="DZ3" s="125"/>
      <c r="EA3" s="126" t="s">
        <v>164</v>
      </c>
      <c r="EB3" s="124" t="s">
        <v>162</v>
      </c>
      <c r="EC3" s="125" t="s">
        <v>163</v>
      </c>
      <c r="ED3" s="125"/>
      <c r="EE3" s="125"/>
      <c r="EF3" s="127" t="s">
        <v>164</v>
      </c>
      <c r="EG3" s="124" t="s">
        <v>162</v>
      </c>
      <c r="EH3" s="125" t="s">
        <v>163</v>
      </c>
      <c r="EI3" s="125"/>
      <c r="EJ3" s="125"/>
      <c r="EK3" s="126" t="s">
        <v>164</v>
      </c>
      <c r="EL3" s="124" t="s">
        <v>162</v>
      </c>
      <c r="EM3" s="125" t="s">
        <v>163</v>
      </c>
      <c r="EN3" s="125"/>
      <c r="EO3" s="125"/>
      <c r="EP3" s="126" t="s">
        <v>164</v>
      </c>
      <c r="EQ3" s="124" t="s">
        <v>162</v>
      </c>
      <c r="ER3" s="125" t="s">
        <v>163</v>
      </c>
      <c r="ES3" s="125"/>
      <c r="ET3" s="125"/>
      <c r="EU3" s="126" t="s">
        <v>164</v>
      </c>
      <c r="EV3" s="125" t="s">
        <v>162</v>
      </c>
      <c r="EW3" s="125" t="s">
        <v>163</v>
      </c>
      <c r="EX3" s="125"/>
      <c r="EY3" s="125"/>
      <c r="EZ3" s="126" t="s">
        <v>164</v>
      </c>
      <c r="FA3" s="124" t="s">
        <v>162</v>
      </c>
      <c r="FB3" s="125" t="s">
        <v>163</v>
      </c>
      <c r="FC3" s="125"/>
      <c r="FD3" s="125"/>
      <c r="FE3" s="126" t="s">
        <v>164</v>
      </c>
      <c r="FF3" s="124" t="s">
        <v>162</v>
      </c>
      <c r="FG3" s="125" t="s">
        <v>163</v>
      </c>
      <c r="FH3" s="125"/>
      <c r="FI3" s="125"/>
      <c r="FJ3" s="126" t="s">
        <v>164</v>
      </c>
    </row>
    <row r="4" spans="1:166" ht="30" x14ac:dyDescent="0.25">
      <c r="A4" s="125"/>
      <c r="B4" s="124"/>
      <c r="C4" s="22" t="s">
        <v>165</v>
      </c>
      <c r="D4" s="22" t="s">
        <v>166</v>
      </c>
      <c r="E4" s="22" t="s">
        <v>167</v>
      </c>
      <c r="F4" s="126"/>
      <c r="G4" s="124"/>
      <c r="H4" s="22" t="s">
        <v>165</v>
      </c>
      <c r="I4" s="22" t="s">
        <v>166</v>
      </c>
      <c r="J4" s="22" t="s">
        <v>167</v>
      </c>
      <c r="K4" s="126"/>
      <c r="L4" s="124"/>
      <c r="M4" s="22" t="s">
        <v>165</v>
      </c>
      <c r="N4" s="22" t="s">
        <v>166</v>
      </c>
      <c r="O4" s="22" t="s">
        <v>167</v>
      </c>
      <c r="P4" s="125"/>
      <c r="Q4" s="124"/>
      <c r="R4" s="22" t="s">
        <v>165</v>
      </c>
      <c r="S4" s="22" t="s">
        <v>166</v>
      </c>
      <c r="T4" s="22" t="s">
        <v>167</v>
      </c>
      <c r="U4" s="126"/>
      <c r="V4" s="124"/>
      <c r="W4" s="22" t="s">
        <v>165</v>
      </c>
      <c r="X4" s="22" t="s">
        <v>166</v>
      </c>
      <c r="Y4" s="22" t="s">
        <v>167</v>
      </c>
      <c r="Z4" s="126"/>
      <c r="AA4" s="124"/>
      <c r="AB4" s="22" t="s">
        <v>165</v>
      </c>
      <c r="AC4" s="22" t="s">
        <v>166</v>
      </c>
      <c r="AD4" s="22" t="s">
        <v>167</v>
      </c>
      <c r="AE4" s="126"/>
      <c r="AF4" s="124"/>
      <c r="AG4" s="22" t="s">
        <v>165</v>
      </c>
      <c r="AH4" s="22" t="s">
        <v>166</v>
      </c>
      <c r="AI4" s="22" t="s">
        <v>167</v>
      </c>
      <c r="AJ4" s="126"/>
      <c r="AK4" s="125"/>
      <c r="AL4" s="22" t="s">
        <v>165</v>
      </c>
      <c r="AM4" s="22" t="s">
        <v>166</v>
      </c>
      <c r="AN4" s="22" t="s">
        <v>167</v>
      </c>
      <c r="AO4" s="126"/>
      <c r="AP4" s="124"/>
      <c r="AQ4" s="22" t="s">
        <v>165</v>
      </c>
      <c r="AR4" s="22" t="s">
        <v>166</v>
      </c>
      <c r="AS4" s="22" t="s">
        <v>167</v>
      </c>
      <c r="AT4" s="126"/>
      <c r="AU4" s="124"/>
      <c r="AV4" s="22" t="s">
        <v>165</v>
      </c>
      <c r="AW4" s="22" t="s">
        <v>166</v>
      </c>
      <c r="AX4" s="22" t="s">
        <v>167</v>
      </c>
      <c r="AY4" s="126"/>
      <c r="AZ4" s="124"/>
      <c r="BA4" s="22" t="s">
        <v>165</v>
      </c>
      <c r="BB4" s="22" t="s">
        <v>166</v>
      </c>
      <c r="BC4" s="22" t="s">
        <v>167</v>
      </c>
      <c r="BD4" s="126"/>
      <c r="BE4" s="124"/>
      <c r="BF4" s="22" t="s">
        <v>165</v>
      </c>
      <c r="BG4" s="22" t="s">
        <v>166</v>
      </c>
      <c r="BH4" s="22" t="s">
        <v>167</v>
      </c>
      <c r="BI4" s="126"/>
      <c r="BJ4" s="124"/>
      <c r="BK4" s="22" t="s">
        <v>165</v>
      </c>
      <c r="BL4" s="22" t="s">
        <v>166</v>
      </c>
      <c r="BM4" s="22" t="s">
        <v>167</v>
      </c>
      <c r="BN4" s="126"/>
      <c r="BO4" s="124"/>
      <c r="BP4" s="22" t="s">
        <v>165</v>
      </c>
      <c r="BQ4" s="22" t="s">
        <v>166</v>
      </c>
      <c r="BR4" s="22" t="s">
        <v>167</v>
      </c>
      <c r="BS4" s="126"/>
      <c r="BT4" s="124"/>
      <c r="BU4" s="22" t="s">
        <v>165</v>
      </c>
      <c r="BV4" s="22" t="s">
        <v>166</v>
      </c>
      <c r="BW4" s="22" t="s">
        <v>167</v>
      </c>
      <c r="BX4" s="126"/>
      <c r="BY4" s="124"/>
      <c r="BZ4" s="22" t="s">
        <v>165</v>
      </c>
      <c r="CA4" s="22" t="s">
        <v>166</v>
      </c>
      <c r="CB4" s="22" t="s">
        <v>167</v>
      </c>
      <c r="CC4" s="126"/>
      <c r="CD4" s="124"/>
      <c r="CE4" s="22" t="s">
        <v>165</v>
      </c>
      <c r="CF4" s="22" t="s">
        <v>166</v>
      </c>
      <c r="CG4" s="22" t="s">
        <v>167</v>
      </c>
      <c r="CH4" s="126"/>
      <c r="CI4" s="124"/>
      <c r="CJ4" s="22" t="s">
        <v>165</v>
      </c>
      <c r="CK4" s="22" t="s">
        <v>166</v>
      </c>
      <c r="CL4" s="22" t="s">
        <v>167</v>
      </c>
      <c r="CM4" s="126"/>
      <c r="CN4" s="124"/>
      <c r="CO4" s="22" t="s">
        <v>165</v>
      </c>
      <c r="CP4" s="22" t="s">
        <v>166</v>
      </c>
      <c r="CQ4" s="22" t="s">
        <v>167</v>
      </c>
      <c r="CR4" s="126"/>
      <c r="CS4" s="124"/>
      <c r="CT4" s="22" t="s">
        <v>165</v>
      </c>
      <c r="CU4" s="22" t="s">
        <v>166</v>
      </c>
      <c r="CV4" s="22" t="s">
        <v>167</v>
      </c>
      <c r="CW4" s="126"/>
      <c r="CX4" s="124"/>
      <c r="CY4" s="22" t="s">
        <v>165</v>
      </c>
      <c r="CZ4" s="22" t="s">
        <v>166</v>
      </c>
      <c r="DA4" s="22" t="s">
        <v>167</v>
      </c>
      <c r="DB4" s="127"/>
      <c r="DC4" s="124"/>
      <c r="DD4" s="22" t="s">
        <v>165</v>
      </c>
      <c r="DE4" s="22" t="s">
        <v>166</v>
      </c>
      <c r="DF4" s="22" t="s">
        <v>167</v>
      </c>
      <c r="DG4" s="126"/>
      <c r="DH4" s="124"/>
      <c r="DI4" s="22" t="s">
        <v>165</v>
      </c>
      <c r="DJ4" s="22" t="s">
        <v>166</v>
      </c>
      <c r="DK4" s="22" t="s">
        <v>167</v>
      </c>
      <c r="DL4" s="127"/>
      <c r="DM4" s="124"/>
      <c r="DN4" s="22" t="s">
        <v>165</v>
      </c>
      <c r="DO4" s="22" t="s">
        <v>166</v>
      </c>
      <c r="DP4" s="22" t="s">
        <v>167</v>
      </c>
      <c r="DQ4" s="127"/>
      <c r="DR4" s="124"/>
      <c r="DS4" s="22" t="s">
        <v>165</v>
      </c>
      <c r="DT4" s="22" t="s">
        <v>166</v>
      </c>
      <c r="DU4" s="22" t="s">
        <v>167</v>
      </c>
      <c r="DV4" s="126"/>
      <c r="DW4" s="124"/>
      <c r="DX4" s="22" t="s">
        <v>165</v>
      </c>
      <c r="DY4" s="22" t="s">
        <v>166</v>
      </c>
      <c r="DZ4" s="22" t="s">
        <v>167</v>
      </c>
      <c r="EA4" s="126"/>
      <c r="EB4" s="124"/>
      <c r="EC4" s="22" t="s">
        <v>165</v>
      </c>
      <c r="ED4" s="22" t="s">
        <v>166</v>
      </c>
      <c r="EE4" s="22" t="s">
        <v>167</v>
      </c>
      <c r="EF4" s="127"/>
      <c r="EG4" s="124"/>
      <c r="EH4" s="22" t="s">
        <v>165</v>
      </c>
      <c r="EI4" s="22" t="s">
        <v>166</v>
      </c>
      <c r="EJ4" s="22" t="s">
        <v>167</v>
      </c>
      <c r="EK4" s="126"/>
      <c r="EL4" s="124"/>
      <c r="EM4" s="22" t="s">
        <v>165</v>
      </c>
      <c r="EN4" s="22" t="s">
        <v>166</v>
      </c>
      <c r="EO4" s="22" t="s">
        <v>167</v>
      </c>
      <c r="EP4" s="126"/>
      <c r="EQ4" s="124"/>
      <c r="ER4" s="22" t="s">
        <v>165</v>
      </c>
      <c r="ES4" s="22" t="s">
        <v>166</v>
      </c>
      <c r="ET4" s="22" t="s">
        <v>167</v>
      </c>
      <c r="EU4" s="126"/>
      <c r="EV4" s="125"/>
      <c r="EW4" s="22" t="s">
        <v>165</v>
      </c>
      <c r="EX4" s="22" t="s">
        <v>166</v>
      </c>
      <c r="EY4" s="22" t="s">
        <v>167</v>
      </c>
      <c r="EZ4" s="126"/>
      <c r="FA4" s="124"/>
      <c r="FB4" s="22" t="s">
        <v>165</v>
      </c>
      <c r="FC4" s="22" t="s">
        <v>166</v>
      </c>
      <c r="FD4" s="22" t="s">
        <v>167</v>
      </c>
      <c r="FE4" s="126"/>
      <c r="FF4" s="124"/>
      <c r="FG4" s="22" t="s">
        <v>165</v>
      </c>
      <c r="FH4" s="22" t="s">
        <v>166</v>
      </c>
      <c r="FI4" s="22" t="s">
        <v>167</v>
      </c>
      <c r="FJ4" s="126"/>
    </row>
    <row r="5" spans="1:166" x14ac:dyDescent="0.25">
      <c r="A5" s="23" t="s">
        <v>169</v>
      </c>
      <c r="B5" s="10">
        <v>2</v>
      </c>
      <c r="C5" s="23">
        <v>3026</v>
      </c>
      <c r="D5" s="23">
        <v>53</v>
      </c>
      <c r="E5" s="23"/>
      <c r="F5" s="49">
        <v>0.66359999999999997</v>
      </c>
      <c r="G5" s="10"/>
      <c r="H5" s="23"/>
      <c r="I5" s="23"/>
      <c r="J5" s="23"/>
      <c r="K5" s="49"/>
      <c r="L5" s="10"/>
      <c r="M5" s="23"/>
      <c r="N5" s="23"/>
      <c r="O5" s="23"/>
      <c r="P5" s="23"/>
      <c r="Q5" s="10"/>
      <c r="R5" s="23"/>
      <c r="S5" s="23"/>
      <c r="T5" s="23"/>
      <c r="U5" s="49"/>
      <c r="V5" s="10"/>
      <c r="W5" s="23"/>
      <c r="X5" s="23"/>
      <c r="Y5" s="23"/>
      <c r="Z5" s="49"/>
      <c r="AA5" s="10"/>
      <c r="AB5" s="23"/>
      <c r="AC5" s="23"/>
      <c r="AD5" s="23"/>
      <c r="AE5" s="49"/>
      <c r="AF5" s="10"/>
      <c r="AG5" s="23"/>
      <c r="AH5" s="23"/>
      <c r="AI5" s="23"/>
      <c r="AJ5" s="49"/>
      <c r="AK5" s="10"/>
      <c r="AL5" s="23"/>
      <c r="AM5" s="23"/>
      <c r="AN5" s="23"/>
      <c r="AO5" s="49"/>
      <c r="AP5" s="10"/>
      <c r="AQ5" s="23"/>
      <c r="AR5" s="23"/>
      <c r="AS5" s="23"/>
      <c r="AT5" s="49"/>
      <c r="AU5" s="10">
        <v>1</v>
      </c>
      <c r="AV5" s="23"/>
      <c r="AW5" s="23"/>
      <c r="AX5" s="10">
        <v>9</v>
      </c>
      <c r="AY5" s="49">
        <v>2.9999999999999997E-4</v>
      </c>
      <c r="AZ5" s="10"/>
      <c r="BA5" s="23"/>
      <c r="BB5" s="23"/>
      <c r="BC5" s="23"/>
      <c r="BD5" s="49"/>
      <c r="BE5" s="10"/>
      <c r="BF5" s="23"/>
      <c r="BG5" s="23"/>
      <c r="BH5" s="23"/>
      <c r="BI5" s="49"/>
      <c r="BJ5" s="10"/>
      <c r="BK5" s="23"/>
      <c r="BL5" s="23"/>
      <c r="BM5" s="23"/>
      <c r="BN5" s="49"/>
      <c r="BO5" s="10"/>
      <c r="BP5" s="23"/>
      <c r="BQ5" s="23"/>
      <c r="BR5" s="23"/>
      <c r="BS5" s="49"/>
      <c r="BT5" s="10"/>
      <c r="BU5" s="23"/>
      <c r="BV5" s="23"/>
      <c r="BW5" s="23"/>
      <c r="BX5" s="49"/>
      <c r="BY5" s="10"/>
      <c r="BZ5" s="23"/>
      <c r="CA5" s="23"/>
      <c r="CB5" s="23"/>
      <c r="CC5" s="49"/>
      <c r="CD5" s="10"/>
      <c r="CE5" s="23"/>
      <c r="CF5" s="23"/>
      <c r="CG5" s="23"/>
      <c r="CH5" s="49"/>
      <c r="CI5" s="10"/>
      <c r="CJ5" s="23"/>
      <c r="CK5" s="23"/>
      <c r="CL5" s="23"/>
      <c r="CM5" s="49"/>
      <c r="CN5" s="10"/>
      <c r="CO5" s="23"/>
      <c r="CP5" s="23"/>
      <c r="CQ5" s="23"/>
      <c r="CR5" s="49"/>
      <c r="CS5" s="10"/>
      <c r="CT5" s="23"/>
      <c r="CU5" s="23"/>
      <c r="CV5" s="23"/>
      <c r="CW5" s="49"/>
      <c r="CX5" s="10"/>
      <c r="CY5" s="23"/>
      <c r="CZ5" s="23"/>
      <c r="DA5" s="23"/>
      <c r="DB5" s="23"/>
      <c r="DC5" s="10"/>
      <c r="DD5" s="23"/>
      <c r="DE5" s="23"/>
      <c r="DF5" s="23"/>
      <c r="DG5" s="49"/>
      <c r="DH5" s="10"/>
      <c r="DI5" s="23"/>
      <c r="DJ5" s="23"/>
      <c r="DK5" s="23"/>
      <c r="DL5" s="49"/>
      <c r="DM5" s="10"/>
      <c r="DN5" s="23"/>
      <c r="DO5" s="23"/>
      <c r="DP5" s="23"/>
      <c r="DQ5" s="23"/>
      <c r="DR5" s="10"/>
      <c r="DS5" s="23"/>
      <c r="DT5" s="23"/>
      <c r="DU5" s="23"/>
      <c r="DV5" s="49"/>
      <c r="DW5" s="75"/>
      <c r="DX5" s="50"/>
      <c r="DY5" s="49"/>
      <c r="DZ5" s="49"/>
      <c r="EA5" s="49"/>
      <c r="EB5" s="10"/>
      <c r="EC5" s="23"/>
      <c r="ED5" s="23"/>
      <c r="EE5" s="23"/>
      <c r="EF5" s="23"/>
      <c r="EG5" s="10"/>
      <c r="EH5" s="23"/>
      <c r="EI5" s="23"/>
      <c r="EJ5" s="23"/>
      <c r="EK5" s="49"/>
      <c r="EL5" s="10"/>
      <c r="EM5" s="23"/>
      <c r="EN5" s="23"/>
      <c r="EO5" s="23"/>
      <c r="EP5" s="49"/>
      <c r="EQ5" s="10">
        <v>18</v>
      </c>
      <c r="ER5" s="23"/>
      <c r="ES5" s="23"/>
      <c r="ET5" s="23">
        <v>1143</v>
      </c>
      <c r="EU5" s="49">
        <v>1.11E-2</v>
      </c>
      <c r="EV5" s="23"/>
      <c r="EW5" s="23"/>
      <c r="EX5" s="23"/>
      <c r="EY5" s="23"/>
      <c r="EZ5" s="49"/>
      <c r="FA5" s="10"/>
      <c r="FB5" s="23"/>
      <c r="FC5" s="23"/>
      <c r="FD5" s="23"/>
      <c r="FE5" s="49"/>
      <c r="FF5" s="10"/>
      <c r="FG5" s="23"/>
      <c r="FH5" s="23"/>
      <c r="FI5" s="23"/>
      <c r="FJ5" s="49"/>
    </row>
    <row r="6" spans="1:166" x14ac:dyDescent="0.25">
      <c r="A6" s="23" t="s">
        <v>170</v>
      </c>
      <c r="B6" s="10">
        <v>2</v>
      </c>
      <c r="C6" s="23"/>
      <c r="D6" s="23">
        <v>5</v>
      </c>
      <c r="E6" s="23"/>
      <c r="F6" s="49">
        <v>1.1000000000000001E-3</v>
      </c>
      <c r="G6" s="10"/>
      <c r="H6" s="23"/>
      <c r="I6" s="23"/>
      <c r="J6" s="23"/>
      <c r="K6" s="49"/>
      <c r="L6" s="10">
        <v>11</v>
      </c>
      <c r="M6" s="23">
        <v>64295.79</v>
      </c>
      <c r="N6" s="23">
        <v>2385.29</v>
      </c>
      <c r="O6" s="49"/>
      <c r="P6" s="49">
        <v>0.18640000000000001</v>
      </c>
      <c r="Q6" s="10">
        <v>30</v>
      </c>
      <c r="R6" s="23">
        <v>92891.81</v>
      </c>
      <c r="S6" s="23">
        <v>2735.78</v>
      </c>
      <c r="T6" s="23">
        <v>6995.35</v>
      </c>
      <c r="U6" s="49">
        <v>0.34379999999999999</v>
      </c>
      <c r="V6" s="10">
        <v>3</v>
      </c>
      <c r="W6" s="23">
        <v>5920.97127</v>
      </c>
      <c r="X6" s="23"/>
      <c r="Y6" s="23"/>
      <c r="Z6" s="49">
        <v>8.0799999999999997E-2</v>
      </c>
      <c r="AA6" s="10"/>
      <c r="AB6" s="23">
        <v>1083.78</v>
      </c>
      <c r="AC6" s="23">
        <v>35.71</v>
      </c>
      <c r="AD6" s="23"/>
      <c r="AE6" s="49">
        <v>0.18079999999999999</v>
      </c>
      <c r="AF6" s="10"/>
      <c r="AG6" s="23"/>
      <c r="AH6" s="23"/>
      <c r="AI6" s="23"/>
      <c r="AJ6" s="49"/>
      <c r="AK6" s="10">
        <v>3</v>
      </c>
      <c r="AL6" s="23">
        <v>16.86</v>
      </c>
      <c r="AM6" s="23"/>
      <c r="AN6" s="23"/>
      <c r="AO6" s="49">
        <v>0.01</v>
      </c>
      <c r="AP6" s="10">
        <v>2</v>
      </c>
      <c r="AQ6" s="23">
        <v>2046</v>
      </c>
      <c r="AR6" s="23">
        <v>287</v>
      </c>
      <c r="AS6" s="23">
        <v>44</v>
      </c>
      <c r="AT6" s="49">
        <v>3.44E-2</v>
      </c>
      <c r="AU6" s="10">
        <v>7</v>
      </c>
      <c r="AV6" s="10">
        <v>1647</v>
      </c>
      <c r="AW6" s="10">
        <v>10</v>
      </c>
      <c r="AX6" s="10">
        <v>252</v>
      </c>
      <c r="AY6" s="49">
        <v>5.6500000000000002E-2</v>
      </c>
      <c r="AZ6" s="10">
        <v>24</v>
      </c>
      <c r="BA6" s="23">
        <v>157347.5</v>
      </c>
      <c r="BB6" s="23">
        <v>4571.3999999999996</v>
      </c>
      <c r="BC6" s="23">
        <v>2738.1</v>
      </c>
      <c r="BD6" s="49">
        <v>0.58599999999999997</v>
      </c>
      <c r="BE6" s="10"/>
      <c r="BF6" s="23"/>
      <c r="BG6" s="23"/>
      <c r="BH6" s="23"/>
      <c r="BI6" s="49"/>
      <c r="BJ6" s="10">
        <v>42</v>
      </c>
      <c r="BK6" s="23">
        <v>27513</v>
      </c>
      <c r="BL6" s="23">
        <v>1220</v>
      </c>
      <c r="BM6" s="23">
        <v>8027</v>
      </c>
      <c r="BN6" s="49">
        <v>0.18970000000000001</v>
      </c>
      <c r="BO6" s="10">
        <v>7</v>
      </c>
      <c r="BP6" s="23">
        <v>8040</v>
      </c>
      <c r="BQ6" s="23">
        <v>116</v>
      </c>
      <c r="BR6" s="23">
        <v>1239</v>
      </c>
      <c r="BS6" s="49">
        <v>0.06</v>
      </c>
      <c r="BT6" s="10"/>
      <c r="BU6" s="23"/>
      <c r="BV6" s="23"/>
      <c r="BW6" s="23"/>
      <c r="BX6" s="49"/>
      <c r="BY6" s="10">
        <v>2</v>
      </c>
      <c r="BZ6" s="23">
        <v>13</v>
      </c>
      <c r="CA6" s="23">
        <v>18</v>
      </c>
      <c r="CB6" s="23"/>
      <c r="CC6" s="49">
        <v>6.0000000000000001E-3</v>
      </c>
      <c r="CD6" s="10">
        <v>7</v>
      </c>
      <c r="CE6" s="23">
        <v>7052</v>
      </c>
      <c r="CF6" s="23">
        <v>102</v>
      </c>
      <c r="CG6" s="23"/>
      <c r="CH6" s="49">
        <v>0.32840000000000003</v>
      </c>
      <c r="CI6" s="10"/>
      <c r="CJ6" s="23"/>
      <c r="CK6" s="23"/>
      <c r="CL6" s="23"/>
      <c r="CM6" s="49"/>
      <c r="CN6" s="10">
        <v>1</v>
      </c>
      <c r="CO6" s="23">
        <v>293</v>
      </c>
      <c r="CP6" s="23"/>
      <c r="CQ6" s="23"/>
      <c r="CR6" s="49">
        <v>0.02</v>
      </c>
      <c r="CS6" s="10"/>
      <c r="CT6" s="23"/>
      <c r="CU6" s="23"/>
      <c r="CV6" s="23"/>
      <c r="CW6" s="49"/>
      <c r="CX6" s="10"/>
      <c r="CY6" s="23"/>
      <c r="CZ6" s="23"/>
      <c r="DA6" s="23"/>
      <c r="DB6" s="49"/>
      <c r="DC6" s="10">
        <v>3</v>
      </c>
      <c r="DD6" s="23"/>
      <c r="DE6" s="23">
        <v>19</v>
      </c>
      <c r="DF6" s="23"/>
      <c r="DG6" s="49">
        <v>8.3000000000000001E-3</v>
      </c>
      <c r="DH6" s="10">
        <v>27</v>
      </c>
      <c r="DI6" s="23">
        <v>301</v>
      </c>
      <c r="DJ6" s="23">
        <v>290</v>
      </c>
      <c r="DK6" s="23">
        <v>965</v>
      </c>
      <c r="DL6" s="49">
        <v>6.3E-3</v>
      </c>
      <c r="DM6" s="10"/>
      <c r="DN6" s="23"/>
      <c r="DO6" s="23"/>
      <c r="DP6" s="23"/>
      <c r="DQ6" s="77"/>
      <c r="DR6" s="10">
        <v>2</v>
      </c>
      <c r="DS6" s="23">
        <v>88.93</v>
      </c>
      <c r="DT6" s="23"/>
      <c r="DU6" s="23">
        <v>-346.72</v>
      </c>
      <c r="DV6" s="49">
        <v>-6.7999999999999996E-3</v>
      </c>
      <c r="DW6" s="75">
        <v>8</v>
      </c>
      <c r="DX6" s="50">
        <v>4977</v>
      </c>
      <c r="DY6" s="50">
        <v>77.38</v>
      </c>
      <c r="DZ6" s="50">
        <v>145.04</v>
      </c>
      <c r="EA6" s="49">
        <v>2.7E-2</v>
      </c>
      <c r="EB6" s="10"/>
      <c r="EC6" s="23"/>
      <c r="ED6" s="23"/>
      <c r="EE6" s="23"/>
      <c r="EF6" s="23"/>
      <c r="EG6" s="10"/>
      <c r="EH6" s="23"/>
      <c r="EI6" s="23"/>
      <c r="EJ6" s="23"/>
      <c r="EK6" s="49"/>
      <c r="EL6" s="10">
        <v>30</v>
      </c>
      <c r="EM6" s="23">
        <v>57026</v>
      </c>
      <c r="EN6" s="23">
        <v>2584</v>
      </c>
      <c r="EO6" s="23">
        <v>4609</v>
      </c>
      <c r="EP6" s="49">
        <v>0.4642</v>
      </c>
      <c r="EQ6" s="10">
        <v>3</v>
      </c>
      <c r="ER6" s="23"/>
      <c r="ES6" s="23"/>
      <c r="ET6" s="23">
        <v>1061</v>
      </c>
      <c r="EU6" s="49">
        <v>1.03E-2</v>
      </c>
      <c r="EV6" s="23"/>
      <c r="EW6" s="23">
        <v>5363</v>
      </c>
      <c r="EX6" s="23">
        <v>922</v>
      </c>
      <c r="EY6" s="23">
        <v>826</v>
      </c>
      <c r="EZ6" s="49">
        <v>6.1100000000000002E-2</v>
      </c>
      <c r="FA6" s="10">
        <v>11</v>
      </c>
      <c r="FB6" s="23">
        <v>1.17</v>
      </c>
      <c r="FC6" s="23">
        <v>-0.06</v>
      </c>
      <c r="FD6" s="23">
        <v>1.1000000000000001</v>
      </c>
      <c r="FE6" s="49">
        <v>1.5E-3</v>
      </c>
      <c r="FF6" s="10">
        <v>48</v>
      </c>
      <c r="FG6" s="23">
        <v>12394</v>
      </c>
      <c r="FH6" s="23">
        <v>740</v>
      </c>
      <c r="FI6" s="23">
        <v>5772</v>
      </c>
      <c r="FJ6" s="49">
        <v>0.27360000000000001</v>
      </c>
    </row>
    <row r="7" spans="1:166" x14ac:dyDescent="0.25">
      <c r="A7" s="23" t="s">
        <v>171</v>
      </c>
      <c r="B7" s="10"/>
      <c r="C7" s="23"/>
      <c r="D7" s="23"/>
      <c r="E7" s="23"/>
      <c r="F7" s="49"/>
      <c r="G7" s="10">
        <v>4</v>
      </c>
      <c r="H7" s="23">
        <v>6392.06</v>
      </c>
      <c r="I7" s="23">
        <v>25.69</v>
      </c>
      <c r="J7" s="23"/>
      <c r="K7" s="49">
        <v>0.80759999999999998</v>
      </c>
      <c r="L7" s="10">
        <v>48</v>
      </c>
      <c r="M7" s="23">
        <v>65798.78</v>
      </c>
      <c r="N7" s="23">
        <v>5541.25</v>
      </c>
      <c r="O7" s="49">
        <v>8320.66</v>
      </c>
      <c r="P7" s="49">
        <v>0.22270000000000001</v>
      </c>
      <c r="Q7" s="10">
        <v>168</v>
      </c>
      <c r="R7" s="23">
        <v>44668.160000000003</v>
      </c>
      <c r="S7" s="23">
        <v>2108.63</v>
      </c>
      <c r="T7" s="23">
        <v>26236.55</v>
      </c>
      <c r="U7" s="49">
        <v>0.24460000000000001</v>
      </c>
      <c r="V7" s="10">
        <v>116</v>
      </c>
      <c r="W7" s="23">
        <v>33808.688670000003</v>
      </c>
      <c r="X7" s="23">
        <v>3245.3735900000001</v>
      </c>
      <c r="Y7" s="23">
        <v>617.93051000000003</v>
      </c>
      <c r="Z7" s="49">
        <v>0.51419999999999999</v>
      </c>
      <c r="AA7" s="10"/>
      <c r="AB7" s="23">
        <v>1598.84</v>
      </c>
      <c r="AC7" s="23">
        <v>284.06</v>
      </c>
      <c r="AD7" s="23">
        <v>3185.63</v>
      </c>
      <c r="AE7" s="49">
        <v>0.81840000000000002</v>
      </c>
      <c r="AF7" s="10">
        <v>5</v>
      </c>
      <c r="AG7" s="23">
        <v>4293</v>
      </c>
      <c r="AH7" s="23">
        <v>1342</v>
      </c>
      <c r="AI7" s="23"/>
      <c r="AJ7" s="49">
        <v>0.56000000000000005</v>
      </c>
      <c r="AK7" s="10">
        <v>4</v>
      </c>
      <c r="AL7" s="23">
        <v>1443.44</v>
      </c>
      <c r="AM7" s="23">
        <v>142.31</v>
      </c>
      <c r="AN7" s="23">
        <v>15.43</v>
      </c>
      <c r="AO7" s="49">
        <v>0.97899999999999998</v>
      </c>
      <c r="AP7" s="10">
        <v>66</v>
      </c>
      <c r="AQ7" s="23">
        <v>11481</v>
      </c>
      <c r="AR7" s="23">
        <v>1578</v>
      </c>
      <c r="AS7" s="23">
        <v>1817</v>
      </c>
      <c r="AT7" s="49">
        <v>0.21510000000000001</v>
      </c>
      <c r="AU7" s="10">
        <v>47</v>
      </c>
      <c r="AV7" s="10">
        <v>29616</v>
      </c>
      <c r="AW7" s="10">
        <v>957</v>
      </c>
      <c r="AX7" s="10">
        <v>1296</v>
      </c>
      <c r="AY7" s="49">
        <v>0.94320000000000004</v>
      </c>
      <c r="AZ7" s="10">
        <v>117</v>
      </c>
      <c r="BA7" s="23">
        <v>28528.7</v>
      </c>
      <c r="BB7" s="23">
        <v>995.8</v>
      </c>
      <c r="BC7" s="23">
        <v>5157</v>
      </c>
      <c r="BD7" s="49">
        <v>0.1234</v>
      </c>
      <c r="BE7" s="10">
        <v>6</v>
      </c>
      <c r="BF7" s="23">
        <v>25493</v>
      </c>
      <c r="BG7" s="23">
        <v>34</v>
      </c>
      <c r="BH7" s="23"/>
      <c r="BI7" s="49">
        <v>0.83</v>
      </c>
      <c r="BJ7" s="10">
        <v>153</v>
      </c>
      <c r="BK7" s="23">
        <v>17946</v>
      </c>
      <c r="BL7" s="23">
        <v>2070</v>
      </c>
      <c r="BM7" s="23">
        <v>13096</v>
      </c>
      <c r="BN7" s="49">
        <v>0.1709</v>
      </c>
      <c r="BO7" s="10">
        <v>133</v>
      </c>
      <c r="BP7" s="23">
        <v>52260</v>
      </c>
      <c r="BQ7" s="23">
        <v>2705</v>
      </c>
      <c r="BR7" s="23">
        <v>7244</v>
      </c>
      <c r="BS7" s="49">
        <v>0.36</v>
      </c>
      <c r="BT7" s="10">
        <v>4</v>
      </c>
      <c r="BU7" s="23">
        <v>148</v>
      </c>
      <c r="BV7" s="23">
        <v>70</v>
      </c>
      <c r="BW7" s="23">
        <v>48</v>
      </c>
      <c r="BX7" s="49">
        <v>9.1999999999999998E-2</v>
      </c>
      <c r="BY7" s="10">
        <v>18</v>
      </c>
      <c r="BZ7" s="23">
        <v>986</v>
      </c>
      <c r="CA7" s="23">
        <v>458</v>
      </c>
      <c r="CB7" s="23"/>
      <c r="CC7" s="49">
        <v>0.27889999999999998</v>
      </c>
      <c r="CD7" s="10">
        <v>20</v>
      </c>
      <c r="CE7" s="23">
        <v>2175</v>
      </c>
      <c r="CF7" s="23">
        <v>65</v>
      </c>
      <c r="CG7" s="23">
        <v>1986</v>
      </c>
      <c r="CH7" s="49">
        <v>0.19400000000000001</v>
      </c>
      <c r="CI7" s="10">
        <v>1</v>
      </c>
      <c r="CJ7" s="23">
        <v>6.5</v>
      </c>
      <c r="CK7" s="23">
        <v>17.850000000000001</v>
      </c>
      <c r="CL7" s="23">
        <v>6.99</v>
      </c>
      <c r="CM7" s="49">
        <v>3.2399999999999998E-2</v>
      </c>
      <c r="CN7" s="10">
        <v>3</v>
      </c>
      <c r="CO7" s="23">
        <v>16406</v>
      </c>
      <c r="CP7" s="23">
        <v>46</v>
      </c>
      <c r="CQ7" s="23"/>
      <c r="CR7" s="49">
        <v>0.98</v>
      </c>
      <c r="CS7" s="10"/>
      <c r="CT7" s="109">
        <v>3992.71</v>
      </c>
      <c r="CU7" s="110">
        <v>3626.41</v>
      </c>
      <c r="CV7" s="111">
        <v>7507.81</v>
      </c>
      <c r="CW7" s="49">
        <v>0.17630000000000001</v>
      </c>
      <c r="CX7" s="10">
        <v>6</v>
      </c>
      <c r="CY7" s="23">
        <v>4.13</v>
      </c>
      <c r="CZ7" s="23">
        <v>47.12</v>
      </c>
      <c r="DA7" s="23"/>
      <c r="DB7" s="49">
        <v>9.01E-2</v>
      </c>
      <c r="DC7" s="10">
        <v>5</v>
      </c>
      <c r="DD7" s="23">
        <v>975</v>
      </c>
      <c r="DE7" s="23">
        <v>786</v>
      </c>
      <c r="DF7" s="23">
        <v>485</v>
      </c>
      <c r="DG7" s="49">
        <v>0.99170000000000003</v>
      </c>
      <c r="DH7" s="10">
        <v>131</v>
      </c>
      <c r="DI7" s="23">
        <v>28032</v>
      </c>
      <c r="DJ7" s="23">
        <v>2130</v>
      </c>
      <c r="DK7" s="23">
        <v>4703</v>
      </c>
      <c r="DL7" s="49">
        <v>0.14149999999999999</v>
      </c>
      <c r="DM7" s="10">
        <v>1</v>
      </c>
      <c r="DN7" s="23">
        <v>181</v>
      </c>
      <c r="DO7" s="23"/>
      <c r="DP7" s="23"/>
      <c r="DQ7" s="49">
        <v>6.0000000000000001E-3</v>
      </c>
      <c r="DR7" s="10">
        <v>56</v>
      </c>
      <c r="DS7" s="23">
        <v>10582.57</v>
      </c>
      <c r="DT7" s="23">
        <v>1019.17</v>
      </c>
      <c r="DU7" s="23">
        <v>1332.08</v>
      </c>
      <c r="DV7" s="49">
        <v>0.34260000000000002</v>
      </c>
      <c r="DW7" s="75">
        <v>153</v>
      </c>
      <c r="DX7" s="50">
        <v>69860.52</v>
      </c>
      <c r="DY7" s="50">
        <v>3426.32</v>
      </c>
      <c r="DZ7" s="50">
        <v>1428.78</v>
      </c>
      <c r="EA7" s="49">
        <v>0.38790000000000002</v>
      </c>
      <c r="EB7" s="10">
        <v>10</v>
      </c>
      <c r="EC7" s="23">
        <v>131.28</v>
      </c>
      <c r="ED7" s="23">
        <v>91.26</v>
      </c>
      <c r="EE7" s="23">
        <v>9.6</v>
      </c>
      <c r="EF7" s="49">
        <v>6.0100000000000001E-2</v>
      </c>
      <c r="EG7" s="10">
        <v>3</v>
      </c>
      <c r="EH7" s="23">
        <v>245.74</v>
      </c>
      <c r="EI7" s="23">
        <v>22.09</v>
      </c>
      <c r="EJ7" s="23"/>
      <c r="EK7" s="49">
        <v>4.1999999999999997E-3</v>
      </c>
      <c r="EL7" s="10">
        <v>91</v>
      </c>
      <c r="EM7" s="23">
        <v>30132</v>
      </c>
      <c r="EN7" s="23">
        <v>2128</v>
      </c>
      <c r="EO7" s="23">
        <v>3873</v>
      </c>
      <c r="EP7" s="49">
        <v>0.26119999999999999</v>
      </c>
      <c r="EQ7" s="10">
        <v>230</v>
      </c>
      <c r="ER7" s="23">
        <v>3321</v>
      </c>
      <c r="ES7" s="23">
        <v>6004</v>
      </c>
      <c r="ET7" s="23">
        <v>13880</v>
      </c>
      <c r="EU7" s="49">
        <v>0.2253</v>
      </c>
      <c r="EV7" s="10"/>
      <c r="EW7" s="23">
        <v>10021</v>
      </c>
      <c r="EX7" s="23">
        <v>3923</v>
      </c>
      <c r="EY7" s="23">
        <v>7496</v>
      </c>
      <c r="EZ7" s="49">
        <v>0.1842</v>
      </c>
      <c r="FA7" s="10">
        <v>197</v>
      </c>
      <c r="FB7" s="23">
        <v>155.59</v>
      </c>
      <c r="FC7" s="23">
        <v>80.28</v>
      </c>
      <c r="FD7" s="23">
        <v>49.34</v>
      </c>
      <c r="FE7" s="49">
        <v>0.18920000000000001</v>
      </c>
      <c r="FF7" s="10">
        <v>33</v>
      </c>
      <c r="FG7" s="23">
        <v>11208</v>
      </c>
      <c r="FH7" s="23">
        <v>1084</v>
      </c>
      <c r="FI7" s="23">
        <v>354</v>
      </c>
      <c r="FJ7" s="49">
        <v>0.183</v>
      </c>
    </row>
    <row r="8" spans="1:166" x14ac:dyDescent="0.25">
      <c r="A8" s="23" t="s">
        <v>172</v>
      </c>
      <c r="B8" s="10">
        <v>1</v>
      </c>
      <c r="C8" s="23">
        <v>1510.29</v>
      </c>
      <c r="D8" s="23">
        <v>40.74</v>
      </c>
      <c r="E8" s="23">
        <v>4.1500000000000004</v>
      </c>
      <c r="F8" s="49">
        <v>0.3352</v>
      </c>
      <c r="G8" s="10">
        <v>1</v>
      </c>
      <c r="H8" s="23">
        <v>1528</v>
      </c>
      <c r="I8" s="23"/>
      <c r="J8" s="23"/>
      <c r="K8" s="49">
        <v>0.19239999999999999</v>
      </c>
      <c r="L8" s="10">
        <v>3</v>
      </c>
      <c r="M8" s="23">
        <v>203583.32</v>
      </c>
      <c r="N8" s="23">
        <v>7853.66</v>
      </c>
      <c r="O8" s="47"/>
      <c r="P8" s="49">
        <v>0.59099999999999997</v>
      </c>
      <c r="Q8" s="10">
        <v>1</v>
      </c>
      <c r="R8" s="23">
        <v>109528.86</v>
      </c>
      <c r="S8" s="23">
        <v>6152.21</v>
      </c>
      <c r="T8" s="23">
        <v>7188.25</v>
      </c>
      <c r="U8" s="49">
        <v>0.41160000000000002</v>
      </c>
      <c r="V8" s="10">
        <v>14</v>
      </c>
      <c r="W8" s="23">
        <v>26688.369699999999</v>
      </c>
      <c r="X8" s="23">
        <v>2161.9412200000002</v>
      </c>
      <c r="Y8" s="23">
        <v>163.17344</v>
      </c>
      <c r="Z8" s="49">
        <v>0.39600000000000002</v>
      </c>
      <c r="AA8" s="10"/>
      <c r="AB8" s="23">
        <v>4.96</v>
      </c>
      <c r="AC8" s="23"/>
      <c r="AD8" s="23"/>
      <c r="AE8" s="49">
        <v>8.0000000000000004E-4</v>
      </c>
      <c r="AF8" s="10">
        <v>3</v>
      </c>
      <c r="AG8" s="23">
        <v>4242</v>
      </c>
      <c r="AH8" s="23">
        <v>264</v>
      </c>
      <c r="AI8" s="23"/>
      <c r="AJ8" s="49">
        <v>0.44</v>
      </c>
      <c r="AK8" s="10">
        <v>12</v>
      </c>
      <c r="AL8" s="23">
        <v>17.75</v>
      </c>
      <c r="AM8" s="23"/>
      <c r="AN8" s="23"/>
      <c r="AO8" s="49">
        <v>1.0999999999999999E-2</v>
      </c>
      <c r="AP8" s="10">
        <v>11</v>
      </c>
      <c r="AQ8" s="23">
        <v>4052</v>
      </c>
      <c r="AR8" s="23">
        <v>478</v>
      </c>
      <c r="AS8" s="23">
        <v>67</v>
      </c>
      <c r="AT8" s="49">
        <v>6.6500000000000004E-2</v>
      </c>
      <c r="AU8" s="10"/>
      <c r="AV8" s="23"/>
      <c r="AW8" s="23"/>
      <c r="AX8" s="23"/>
      <c r="AY8" s="49"/>
      <c r="AZ8" s="10">
        <v>6</v>
      </c>
      <c r="BA8" s="23">
        <v>75079.399999999994</v>
      </c>
      <c r="BB8" s="23">
        <v>4073.6</v>
      </c>
      <c r="BC8" s="23">
        <v>49.4</v>
      </c>
      <c r="BD8" s="49">
        <v>0.28189999999999998</v>
      </c>
      <c r="BE8" s="10">
        <v>1</v>
      </c>
      <c r="BF8" s="23">
        <v>5213</v>
      </c>
      <c r="BG8" s="23">
        <v>28</v>
      </c>
      <c r="BH8" s="23"/>
      <c r="BI8" s="49">
        <v>0.17</v>
      </c>
      <c r="BJ8" s="10">
        <v>6</v>
      </c>
      <c r="BK8" s="23">
        <v>100535</v>
      </c>
      <c r="BL8" s="23">
        <v>8119</v>
      </c>
      <c r="BM8" s="23">
        <v>-847</v>
      </c>
      <c r="BN8" s="49">
        <v>0.55649999999999999</v>
      </c>
      <c r="BO8" s="10">
        <v>31</v>
      </c>
      <c r="BP8" s="23">
        <v>84326</v>
      </c>
      <c r="BQ8" s="23">
        <v>2814</v>
      </c>
      <c r="BR8" s="23">
        <v>5982</v>
      </c>
      <c r="BS8" s="49">
        <v>0.55000000000000004</v>
      </c>
      <c r="BT8" s="10">
        <v>1</v>
      </c>
      <c r="BU8" s="23">
        <v>2443</v>
      </c>
      <c r="BV8" s="23">
        <v>180</v>
      </c>
      <c r="BW8" s="23"/>
      <c r="BX8" s="49">
        <v>0.90600000000000003</v>
      </c>
      <c r="BY8" s="10">
        <v>1</v>
      </c>
      <c r="BZ8" s="23">
        <v>3245</v>
      </c>
      <c r="CA8" s="23">
        <v>461</v>
      </c>
      <c r="CB8" s="23"/>
      <c r="CC8" s="49">
        <v>0.71530000000000005</v>
      </c>
      <c r="CD8" s="10">
        <v>5</v>
      </c>
      <c r="CE8" s="23">
        <v>10214</v>
      </c>
      <c r="CF8" s="23">
        <v>259</v>
      </c>
      <c r="CG8" s="23">
        <v>-80</v>
      </c>
      <c r="CH8" s="49">
        <v>0.47720000000000001</v>
      </c>
      <c r="CI8" s="10">
        <v>1</v>
      </c>
      <c r="CJ8" s="23">
        <v>930.35</v>
      </c>
      <c r="CK8" s="23">
        <v>6.86</v>
      </c>
      <c r="CL8" s="23"/>
      <c r="CM8" s="49">
        <v>0.96760000000000002</v>
      </c>
      <c r="CN8" s="10"/>
      <c r="CO8" s="23"/>
      <c r="CP8" s="23"/>
      <c r="CQ8" s="23"/>
      <c r="CR8" s="49"/>
      <c r="CS8" s="10"/>
      <c r="CT8" s="109">
        <v>48859.53</v>
      </c>
      <c r="CU8" s="110">
        <v>7192.04</v>
      </c>
      <c r="CV8" s="111">
        <v>17107.04</v>
      </c>
      <c r="CW8" s="49">
        <v>0.8528</v>
      </c>
      <c r="CX8" s="10">
        <v>7</v>
      </c>
      <c r="CY8" s="23">
        <v>334.14</v>
      </c>
      <c r="CZ8" s="23">
        <v>173.53</v>
      </c>
      <c r="DA8" s="23"/>
      <c r="DB8" s="49">
        <v>0.8921</v>
      </c>
      <c r="DC8" s="10"/>
      <c r="DD8" s="23"/>
      <c r="DE8" s="23"/>
      <c r="DF8" s="23"/>
      <c r="DG8" s="49"/>
      <c r="DH8" s="10">
        <v>10</v>
      </c>
      <c r="DI8" s="23">
        <v>150023</v>
      </c>
      <c r="DJ8" s="23">
        <v>6161</v>
      </c>
      <c r="DK8" s="23">
        <v>2288</v>
      </c>
      <c r="DL8" s="49">
        <v>0.64639999999999997</v>
      </c>
      <c r="DM8" s="10">
        <v>1</v>
      </c>
      <c r="DN8" s="23">
        <v>27630</v>
      </c>
      <c r="DO8" s="23">
        <v>298</v>
      </c>
      <c r="DP8" s="23">
        <v>9</v>
      </c>
      <c r="DQ8" s="49">
        <v>0.99399999999999999</v>
      </c>
      <c r="DR8" s="10">
        <v>19</v>
      </c>
      <c r="DS8" s="23">
        <v>23742.29</v>
      </c>
      <c r="DT8" s="23">
        <v>603.89</v>
      </c>
      <c r="DU8" s="23">
        <v>726.06</v>
      </c>
      <c r="DV8" s="49">
        <v>0.66420000000000001</v>
      </c>
      <c r="DW8" s="75">
        <v>2</v>
      </c>
      <c r="DX8" s="50">
        <v>92480.99</v>
      </c>
      <c r="DY8" s="50">
        <v>3668.3</v>
      </c>
      <c r="DZ8" s="50">
        <v>433.22</v>
      </c>
      <c r="EA8" s="49">
        <v>0.50139999999999996</v>
      </c>
      <c r="EB8" s="10">
        <v>6</v>
      </c>
      <c r="EC8" s="23">
        <v>98.03</v>
      </c>
      <c r="ED8" s="23">
        <v>53.48</v>
      </c>
      <c r="EE8" s="23"/>
      <c r="EF8" s="49">
        <v>3.9199999999999999E-2</v>
      </c>
      <c r="EG8" s="10">
        <v>1</v>
      </c>
      <c r="EH8" s="23">
        <v>62997.46</v>
      </c>
      <c r="EI8" s="23">
        <v>88.36</v>
      </c>
      <c r="EJ8" s="23"/>
      <c r="EK8" s="49">
        <v>0.99580000000000002</v>
      </c>
      <c r="EL8" s="10"/>
      <c r="EM8" s="23"/>
      <c r="EN8" s="23"/>
      <c r="EO8" s="23"/>
      <c r="EP8" s="49"/>
      <c r="EQ8" s="10">
        <v>36</v>
      </c>
      <c r="ER8" s="23">
        <v>59628</v>
      </c>
      <c r="ES8" s="23">
        <v>6042</v>
      </c>
      <c r="ET8" s="23">
        <v>2495</v>
      </c>
      <c r="EU8" s="49">
        <v>0.66200000000000003</v>
      </c>
      <c r="EV8" s="23"/>
      <c r="EW8" s="23">
        <v>5</v>
      </c>
      <c r="EX8" s="23">
        <v>12</v>
      </c>
      <c r="EY8" s="23">
        <v>2</v>
      </c>
      <c r="EZ8" s="49">
        <v>2.0000000000000001E-4</v>
      </c>
      <c r="FA8" s="10">
        <v>27</v>
      </c>
      <c r="FB8" s="23">
        <v>31.11</v>
      </c>
      <c r="FC8" s="23">
        <v>19.84</v>
      </c>
      <c r="FD8" s="23">
        <v>43.6</v>
      </c>
      <c r="FE8" s="49">
        <v>6.2700000000000006E-2</v>
      </c>
      <c r="FF8" s="10">
        <v>7</v>
      </c>
      <c r="FG8" s="23">
        <v>34185</v>
      </c>
      <c r="FH8" s="23">
        <v>2249</v>
      </c>
      <c r="FI8" s="23">
        <v>208</v>
      </c>
      <c r="FJ8" s="49">
        <v>0.53029999999999999</v>
      </c>
    </row>
    <row r="9" spans="1:166" x14ac:dyDescent="0.25">
      <c r="A9" s="23" t="s">
        <v>173</v>
      </c>
      <c r="B9" s="10"/>
      <c r="C9" s="23"/>
      <c r="D9" s="23"/>
      <c r="E9" s="23"/>
      <c r="F9" s="49"/>
      <c r="G9" s="10"/>
      <c r="H9" s="23"/>
      <c r="I9" s="23"/>
      <c r="J9" s="23"/>
      <c r="K9" s="49"/>
      <c r="L9" s="10">
        <v>3</v>
      </c>
      <c r="M9" s="23">
        <v>-4.42</v>
      </c>
      <c r="N9" s="23"/>
      <c r="O9" s="47"/>
      <c r="P9" s="23"/>
      <c r="Q9" s="10"/>
      <c r="R9" s="23"/>
      <c r="S9" s="23"/>
      <c r="T9" s="23"/>
      <c r="U9" s="49"/>
      <c r="V9" s="10">
        <v>1</v>
      </c>
      <c r="W9" s="23">
        <v>47.306469999999997</v>
      </c>
      <c r="X9" s="23">
        <v>47.980049999999999</v>
      </c>
      <c r="Y9" s="23"/>
      <c r="Z9" s="49">
        <v>1.2999999999999999E-3</v>
      </c>
      <c r="AA9" s="10"/>
      <c r="AB9" s="23">
        <v>0.09</v>
      </c>
      <c r="AC9" s="23"/>
      <c r="AD9" s="23"/>
      <c r="AE9" s="49"/>
      <c r="AF9" s="10">
        <v>3</v>
      </c>
      <c r="AG9" s="23">
        <v>1</v>
      </c>
      <c r="AH9" s="23"/>
      <c r="AI9" s="23"/>
      <c r="AJ9" s="49"/>
      <c r="AK9" s="10"/>
      <c r="AL9" s="23"/>
      <c r="AM9" s="23"/>
      <c r="AN9" s="23"/>
      <c r="AO9" s="49"/>
      <c r="AP9" s="10">
        <v>3</v>
      </c>
      <c r="AQ9" s="23">
        <v>57</v>
      </c>
      <c r="AR9" s="23"/>
      <c r="AS9" s="23">
        <v>35</v>
      </c>
      <c r="AT9" s="49">
        <v>1.2999999999999999E-3</v>
      </c>
      <c r="AU9" s="10"/>
      <c r="AV9" s="23"/>
      <c r="AW9" s="23"/>
      <c r="AX9" s="23"/>
      <c r="AY9" s="49"/>
      <c r="AZ9" s="10"/>
      <c r="BA9" s="23"/>
      <c r="BB9" s="23"/>
      <c r="BC9" s="23"/>
      <c r="BD9" s="49"/>
      <c r="BE9" s="10"/>
      <c r="BF9" s="23"/>
      <c r="BG9" s="23"/>
      <c r="BH9" s="23"/>
      <c r="BI9" s="49"/>
      <c r="BJ9" s="10">
        <v>10</v>
      </c>
      <c r="BK9" s="23">
        <v>182</v>
      </c>
      <c r="BL9" s="23">
        <v>7</v>
      </c>
      <c r="BM9" s="23">
        <v>55</v>
      </c>
      <c r="BN9" s="49">
        <v>1.2999999999999999E-3</v>
      </c>
      <c r="BO9" s="10"/>
      <c r="BP9" s="23"/>
      <c r="BQ9" s="23"/>
      <c r="BR9" s="23"/>
      <c r="BS9" s="49"/>
      <c r="BT9" s="10"/>
      <c r="BU9" s="23"/>
      <c r="BV9" s="23"/>
      <c r="BW9" s="23"/>
      <c r="BX9" s="49"/>
      <c r="BY9" s="10">
        <v>1</v>
      </c>
      <c r="BZ9" s="23">
        <v>0</v>
      </c>
      <c r="CA9" s="23">
        <v>0</v>
      </c>
      <c r="CB9" s="23"/>
      <c r="CC9" s="49">
        <v>1E-4</v>
      </c>
      <c r="CD9" s="10">
        <v>8</v>
      </c>
      <c r="CE9" s="23">
        <v>-2</v>
      </c>
      <c r="CF9" s="23"/>
      <c r="CG9" s="23"/>
      <c r="CH9" s="49">
        <v>-1E-4</v>
      </c>
      <c r="CI9" s="10"/>
      <c r="CJ9" s="23"/>
      <c r="CK9" s="23"/>
      <c r="CL9" s="23"/>
      <c r="CM9" s="49"/>
      <c r="CN9" s="10"/>
      <c r="CO9" s="23"/>
      <c r="CP9" s="23"/>
      <c r="CQ9" s="23"/>
      <c r="CR9" s="49"/>
      <c r="CS9" s="10"/>
      <c r="CT9" s="109">
        <v>-8071.6</v>
      </c>
      <c r="CU9" s="110">
        <v>626.29</v>
      </c>
      <c r="CV9" s="111">
        <v>4941.12</v>
      </c>
      <c r="CW9" s="49">
        <v>-2.92E-2</v>
      </c>
      <c r="CX9" s="10">
        <v>4</v>
      </c>
      <c r="CY9" s="23"/>
      <c r="CZ9" s="23">
        <v>10.130000000000001</v>
      </c>
      <c r="DA9" s="23"/>
      <c r="DB9" s="49">
        <v>1.78E-2</v>
      </c>
      <c r="DC9" s="10"/>
      <c r="DD9" s="23"/>
      <c r="DE9" s="23"/>
      <c r="DF9" s="23"/>
      <c r="DG9" s="49"/>
      <c r="DH9" s="10">
        <v>9</v>
      </c>
      <c r="DI9" s="23">
        <v>16971</v>
      </c>
      <c r="DJ9" s="23">
        <v>1226</v>
      </c>
      <c r="DK9" s="23">
        <v>356</v>
      </c>
      <c r="DL9" s="49">
        <v>7.5300000000000006E-2</v>
      </c>
      <c r="DM9" s="10"/>
      <c r="DN9" s="23"/>
      <c r="DO9" s="23"/>
      <c r="DP9" s="23"/>
      <c r="DQ9" s="50"/>
      <c r="DR9" s="10"/>
      <c r="DS9" s="23"/>
      <c r="DT9" s="23"/>
      <c r="DU9" s="23"/>
      <c r="DV9" s="49"/>
      <c r="DW9" s="75">
        <v>1</v>
      </c>
      <c r="DX9" s="50">
        <v>104.9</v>
      </c>
      <c r="DY9" s="50">
        <v>-0.59</v>
      </c>
      <c r="DZ9" s="50">
        <v>0.34</v>
      </c>
      <c r="EA9" s="49">
        <v>5.0000000000000001E-4</v>
      </c>
      <c r="EB9" s="10">
        <v>12</v>
      </c>
      <c r="EC9" s="23">
        <v>3138.53</v>
      </c>
      <c r="ED9" s="23">
        <v>291.36</v>
      </c>
      <c r="EE9" s="23">
        <v>48.96</v>
      </c>
      <c r="EF9" s="49">
        <v>0.88800000000000001</v>
      </c>
      <c r="EG9" s="10"/>
      <c r="EH9" s="23"/>
      <c r="EI9" s="23"/>
      <c r="EJ9" s="23"/>
      <c r="EK9" s="49"/>
      <c r="EL9" s="10">
        <v>3</v>
      </c>
      <c r="EM9" s="23">
        <v>31055</v>
      </c>
      <c r="EN9" s="23">
        <v>1469</v>
      </c>
      <c r="EO9" s="23">
        <v>4020</v>
      </c>
      <c r="EP9" s="49">
        <v>0.26419999999999999</v>
      </c>
      <c r="EQ9" s="10">
        <v>74</v>
      </c>
      <c r="ER9" s="23">
        <v>8025</v>
      </c>
      <c r="ES9" s="23">
        <v>704</v>
      </c>
      <c r="ET9" s="23">
        <v>670.94</v>
      </c>
      <c r="EU9" s="49">
        <v>9.1300000000000006E-2</v>
      </c>
      <c r="EV9" s="23"/>
      <c r="EW9" s="23">
        <f>3915+1538</f>
        <v>5453</v>
      </c>
      <c r="EX9" s="23">
        <f>685+793</f>
        <v>1478</v>
      </c>
      <c r="EY9" s="23">
        <f>36+223</f>
        <v>259</v>
      </c>
      <c r="EZ9" s="49">
        <v>6.1800000000000001E-2</v>
      </c>
      <c r="FA9" s="10">
        <v>16</v>
      </c>
      <c r="FB9" s="23">
        <v>6.12</v>
      </c>
      <c r="FC9" s="23">
        <v>1.98</v>
      </c>
      <c r="FD9" s="23">
        <v>175.45</v>
      </c>
      <c r="FE9" s="49">
        <v>0.12180000000000001</v>
      </c>
      <c r="FF9" s="10">
        <v>13</v>
      </c>
      <c r="FG9" s="23">
        <v>105</v>
      </c>
      <c r="FH9" s="23">
        <v>446</v>
      </c>
      <c r="FI9" s="23">
        <v>170</v>
      </c>
      <c r="FJ9" s="49">
        <v>1.04E-2</v>
      </c>
    </row>
    <row r="10" spans="1:166" ht="30" x14ac:dyDescent="0.25">
      <c r="A10" s="24" t="s">
        <v>174</v>
      </c>
      <c r="B10" s="10"/>
      <c r="C10" s="23"/>
      <c r="D10" s="23"/>
      <c r="E10" s="23"/>
      <c r="F10" s="49"/>
      <c r="G10" s="10"/>
      <c r="H10" s="23"/>
      <c r="I10" s="23"/>
      <c r="J10" s="23"/>
      <c r="K10" s="49"/>
      <c r="L10" s="10"/>
      <c r="M10" s="23"/>
      <c r="N10" s="23"/>
      <c r="O10" s="47"/>
      <c r="P10" s="23"/>
      <c r="Q10" s="10"/>
      <c r="R10" s="23"/>
      <c r="S10" s="23"/>
      <c r="T10" s="23"/>
      <c r="U10" s="49"/>
      <c r="V10" s="10">
        <v>13</v>
      </c>
      <c r="W10" s="23"/>
      <c r="X10" s="23"/>
      <c r="Y10" s="23">
        <v>555.87373000000002</v>
      </c>
      <c r="Z10" s="49">
        <v>7.6E-3</v>
      </c>
      <c r="AA10" s="10"/>
      <c r="AB10" s="23"/>
      <c r="AC10" s="23"/>
      <c r="AD10" s="23"/>
      <c r="AE10" s="49"/>
      <c r="AF10" s="10"/>
      <c r="AG10" s="23"/>
      <c r="AH10" s="23"/>
      <c r="AI10" s="23"/>
      <c r="AJ10" s="49"/>
      <c r="AK10" s="10"/>
      <c r="AL10" s="23"/>
      <c r="AM10" s="23"/>
      <c r="AN10" s="23"/>
      <c r="AO10" s="49"/>
      <c r="AP10" s="10">
        <v>10</v>
      </c>
      <c r="AQ10" s="23">
        <v>8</v>
      </c>
      <c r="AR10" s="23"/>
      <c r="AS10" s="23">
        <v>285</v>
      </c>
      <c r="AT10" s="49">
        <v>4.1999999999999997E-3</v>
      </c>
      <c r="AU10" s="10"/>
      <c r="AV10" s="23"/>
      <c r="AW10" s="23"/>
      <c r="AX10" s="23"/>
      <c r="AY10" s="49"/>
      <c r="AZ10" s="10"/>
      <c r="BA10" s="23"/>
      <c r="BB10" s="23"/>
      <c r="BC10" s="23"/>
      <c r="BD10" s="49"/>
      <c r="BE10" s="10"/>
      <c r="BF10" s="23"/>
      <c r="BG10" s="23"/>
      <c r="BH10" s="23"/>
      <c r="BI10" s="49"/>
      <c r="BJ10" s="10"/>
      <c r="BK10" s="23"/>
      <c r="BL10" s="23"/>
      <c r="BM10" s="23"/>
      <c r="BN10" s="49"/>
      <c r="BO10" s="10"/>
      <c r="BP10" s="23"/>
      <c r="BQ10" s="23"/>
      <c r="BR10" s="23"/>
      <c r="BS10" s="49"/>
      <c r="BT10" s="10"/>
      <c r="BU10" s="23"/>
      <c r="BV10" s="23"/>
      <c r="BW10" s="23"/>
      <c r="BX10" s="49"/>
      <c r="BY10" s="10"/>
      <c r="BZ10" s="23"/>
      <c r="CA10" s="23"/>
      <c r="CB10" s="23"/>
      <c r="CC10" s="49"/>
      <c r="CD10" s="10"/>
      <c r="CE10" s="23"/>
      <c r="CF10" s="23"/>
      <c r="CG10" s="23"/>
      <c r="CH10" s="49"/>
      <c r="CI10" s="10"/>
      <c r="CJ10" s="23"/>
      <c r="CK10" s="23"/>
      <c r="CL10" s="23"/>
      <c r="CM10" s="49"/>
      <c r="CN10" s="10"/>
      <c r="CO10" s="23"/>
      <c r="CP10" s="23"/>
      <c r="CQ10" s="23"/>
      <c r="CR10" s="49"/>
      <c r="CS10" s="10"/>
      <c r="CT10" s="23"/>
      <c r="CU10" s="23"/>
      <c r="CV10" s="23"/>
      <c r="CW10" s="49"/>
      <c r="CX10" s="10"/>
      <c r="CY10" s="23"/>
      <c r="CZ10" s="23"/>
      <c r="DA10" s="23"/>
      <c r="DB10" s="23"/>
      <c r="DC10" s="10"/>
      <c r="DD10" s="23"/>
      <c r="DE10" s="23"/>
      <c r="DF10" s="23"/>
      <c r="DG10" s="49"/>
      <c r="DH10" s="10"/>
      <c r="DI10" s="23"/>
      <c r="DJ10" s="23"/>
      <c r="DK10" s="23"/>
      <c r="DL10" s="49"/>
      <c r="DM10" s="10"/>
      <c r="DN10" s="23"/>
      <c r="DO10" s="23"/>
      <c r="DP10" s="23"/>
      <c r="DQ10" s="50"/>
      <c r="DR10" s="10"/>
      <c r="DS10" s="23"/>
      <c r="DT10" s="23"/>
      <c r="DU10" s="23"/>
      <c r="DV10" s="49"/>
      <c r="DW10" s="75"/>
      <c r="DX10" s="50"/>
      <c r="DY10" s="50"/>
      <c r="DZ10" s="50"/>
      <c r="EA10" s="49"/>
      <c r="EB10" s="10"/>
      <c r="EC10" s="23"/>
      <c r="ED10" s="23"/>
      <c r="EE10" s="23"/>
      <c r="EF10" s="23"/>
      <c r="EG10" s="10"/>
      <c r="EH10" s="23"/>
      <c r="EI10" s="23"/>
      <c r="EJ10" s="23"/>
      <c r="EK10" s="49"/>
      <c r="EL10" s="10"/>
      <c r="EM10" s="23"/>
      <c r="EN10" s="23"/>
      <c r="EO10" s="23"/>
      <c r="EP10" s="49"/>
      <c r="EQ10" s="10"/>
      <c r="ER10" s="23"/>
      <c r="ES10" s="23"/>
      <c r="ET10" s="23"/>
      <c r="EU10" s="49"/>
      <c r="EV10" s="23"/>
      <c r="EW10" s="23">
        <v>52940</v>
      </c>
      <c r="EX10" s="23">
        <v>7911</v>
      </c>
      <c r="EY10" s="23">
        <v>15957</v>
      </c>
      <c r="EZ10" s="49">
        <v>0.65990000000000004</v>
      </c>
      <c r="FA10" s="10">
        <v>22</v>
      </c>
      <c r="FB10" s="23">
        <v>558.67999999999995</v>
      </c>
      <c r="FC10" s="23">
        <v>134.5</v>
      </c>
      <c r="FD10" s="23">
        <v>248.74</v>
      </c>
      <c r="FE10" s="49">
        <v>0.62480000000000002</v>
      </c>
      <c r="FF10" s="10">
        <v>8</v>
      </c>
      <c r="FG10" s="23"/>
      <c r="FH10" s="23"/>
      <c r="FI10" s="23">
        <v>183</v>
      </c>
      <c r="FJ10" s="49">
        <v>2.5999999999999999E-3</v>
      </c>
    </row>
    <row r="11" spans="1:166" x14ac:dyDescent="0.25">
      <c r="A11" s="24" t="s">
        <v>32</v>
      </c>
      <c r="B11" s="10"/>
      <c r="C11" s="23"/>
      <c r="D11" s="23"/>
      <c r="E11" s="23"/>
      <c r="F11" s="49"/>
      <c r="G11" s="10"/>
      <c r="H11" s="23"/>
      <c r="I11" s="23"/>
      <c r="J11" s="23"/>
      <c r="K11" s="49"/>
      <c r="L11" s="10"/>
      <c r="M11" s="23"/>
      <c r="N11" s="23"/>
      <c r="O11" s="47"/>
      <c r="P11" s="23"/>
      <c r="Q11" s="10"/>
      <c r="R11" s="23"/>
      <c r="S11" s="23"/>
      <c r="T11" s="23"/>
      <c r="U11" s="49"/>
      <c r="V11" s="10"/>
      <c r="W11" s="23"/>
      <c r="X11" s="23"/>
      <c r="Y11" s="23"/>
      <c r="Z11" s="49"/>
      <c r="AA11" s="10"/>
      <c r="AB11" s="23"/>
      <c r="AC11" s="23"/>
      <c r="AD11" s="23"/>
      <c r="AE11" s="49"/>
      <c r="AF11" s="10"/>
      <c r="AG11" s="23"/>
      <c r="AH11" s="23"/>
      <c r="AI11" s="23"/>
      <c r="AJ11" s="49"/>
      <c r="AK11" s="10"/>
      <c r="AL11" s="23"/>
      <c r="AM11" s="23"/>
      <c r="AN11" s="23"/>
      <c r="AO11" s="49"/>
      <c r="AP11" s="10">
        <v>8</v>
      </c>
      <c r="AQ11" s="23">
        <v>9642</v>
      </c>
      <c r="AR11" s="23">
        <v>2335</v>
      </c>
      <c r="AS11" s="23">
        <v>349</v>
      </c>
      <c r="AT11" s="49">
        <v>0.1782</v>
      </c>
      <c r="AU11" s="10"/>
      <c r="AV11" s="23"/>
      <c r="AW11" s="23"/>
      <c r="AX11" s="23"/>
      <c r="AY11" s="49"/>
      <c r="AZ11" s="10"/>
      <c r="BA11" s="23"/>
      <c r="BB11" s="23"/>
      <c r="BC11" s="23"/>
      <c r="BD11" s="49"/>
      <c r="BE11" s="10"/>
      <c r="BF11" s="23"/>
      <c r="BG11" s="23"/>
      <c r="BH11" s="23"/>
      <c r="BI11" s="49"/>
      <c r="BJ11" s="10"/>
      <c r="BK11" s="23"/>
      <c r="BL11" s="23"/>
      <c r="BM11" s="23"/>
      <c r="BN11" s="49"/>
      <c r="BO11" s="10"/>
      <c r="BP11" s="23"/>
      <c r="BQ11" s="23"/>
      <c r="BR11" s="23"/>
      <c r="BS11" s="49"/>
      <c r="BT11" s="10"/>
      <c r="BU11" s="23"/>
      <c r="BV11" s="23"/>
      <c r="BW11" s="23"/>
      <c r="BX11" s="49"/>
      <c r="BY11" s="10"/>
      <c r="BZ11" s="23"/>
      <c r="CA11" s="23"/>
      <c r="CB11" s="23"/>
      <c r="CC11" s="49"/>
      <c r="CD11" s="10"/>
      <c r="CE11" s="23"/>
      <c r="CF11" s="23"/>
      <c r="CG11" s="23"/>
      <c r="CH11" s="49"/>
      <c r="CI11" s="10"/>
      <c r="CJ11" s="23"/>
      <c r="CK11" s="23"/>
      <c r="CL11" s="23"/>
      <c r="CM11" s="49"/>
      <c r="CN11" s="10"/>
      <c r="CO11" s="23"/>
      <c r="CP11" s="23"/>
      <c r="CQ11" s="23"/>
      <c r="CR11" s="49"/>
      <c r="CS11" s="10"/>
      <c r="CT11" s="23"/>
      <c r="CU11" s="23"/>
      <c r="CV11" s="23"/>
      <c r="CW11" s="49"/>
      <c r="CX11" s="10"/>
      <c r="CY11" s="23"/>
      <c r="CZ11" s="23"/>
      <c r="DA11" s="23"/>
      <c r="DB11" s="23"/>
      <c r="DC11" s="10"/>
      <c r="DD11" s="23"/>
      <c r="DE11" s="23"/>
      <c r="DF11" s="23"/>
      <c r="DG11" s="49"/>
      <c r="DH11" s="10"/>
      <c r="DI11" s="23"/>
      <c r="DJ11" s="23"/>
      <c r="DK11" s="23"/>
      <c r="DL11" s="49"/>
      <c r="DM11" s="10"/>
      <c r="DN11" s="23"/>
      <c r="DO11" s="23"/>
      <c r="DP11" s="23"/>
      <c r="DQ11" s="50"/>
      <c r="DR11" s="10"/>
      <c r="DS11" s="23"/>
      <c r="DT11" s="23"/>
      <c r="DU11" s="23"/>
      <c r="DV11" s="49"/>
      <c r="DW11" s="75"/>
      <c r="DX11" s="50"/>
      <c r="DY11" s="50"/>
      <c r="DZ11" s="50"/>
      <c r="EA11" s="49"/>
      <c r="EB11" s="10"/>
      <c r="EC11" s="23"/>
      <c r="ED11" s="23"/>
      <c r="EE11" s="23"/>
      <c r="EF11" s="23"/>
      <c r="EG11" s="10"/>
      <c r="EH11" s="23"/>
      <c r="EI11" s="23"/>
      <c r="EJ11" s="23"/>
      <c r="EK11" s="49"/>
      <c r="EL11" s="10">
        <v>1</v>
      </c>
      <c r="EM11" s="23">
        <v>64</v>
      </c>
      <c r="EN11" s="23"/>
      <c r="EO11" s="23">
        <v>4</v>
      </c>
      <c r="EP11" s="49">
        <v>5.0000000000000001E-4</v>
      </c>
      <c r="EQ11" s="10"/>
      <c r="ER11" s="23"/>
      <c r="ES11" s="23"/>
      <c r="ET11" s="23"/>
      <c r="EU11" s="49"/>
      <c r="EV11" s="23"/>
      <c r="EW11" s="23">
        <v>3387</v>
      </c>
      <c r="EX11" s="23"/>
      <c r="EY11" s="23"/>
      <c r="EZ11" s="49">
        <v>2.9100000000000001E-2</v>
      </c>
      <c r="FA11" s="10"/>
      <c r="FB11" s="23"/>
      <c r="FC11" s="23"/>
      <c r="FD11" s="23"/>
      <c r="FE11" s="49"/>
      <c r="FF11" s="10"/>
      <c r="FG11" s="23"/>
      <c r="FH11" s="23"/>
      <c r="FI11" s="23"/>
      <c r="FJ11" s="49"/>
    </row>
    <row r="12" spans="1:166" x14ac:dyDescent="0.25">
      <c r="A12" s="24" t="s">
        <v>175</v>
      </c>
      <c r="B12" s="10"/>
      <c r="C12" s="23"/>
      <c r="D12" s="23"/>
      <c r="E12" s="23"/>
      <c r="F12" s="49"/>
      <c r="G12" s="10"/>
      <c r="H12" s="23"/>
      <c r="I12" s="23"/>
      <c r="J12" s="23"/>
      <c r="K12" s="49"/>
      <c r="L12" s="10"/>
      <c r="M12" s="23"/>
      <c r="N12" s="23"/>
      <c r="O12" s="47"/>
      <c r="P12" s="23"/>
      <c r="Q12" s="10"/>
      <c r="R12" s="23"/>
      <c r="S12" s="23"/>
      <c r="T12" s="23"/>
      <c r="U12" s="49"/>
      <c r="V12" s="10"/>
      <c r="W12" s="23"/>
      <c r="X12" s="23"/>
      <c r="Y12" s="23"/>
      <c r="Z12" s="49"/>
      <c r="AA12" s="10"/>
      <c r="AB12" s="23"/>
      <c r="AC12" s="23"/>
      <c r="AD12" s="23"/>
      <c r="AE12" s="49"/>
      <c r="AF12" s="10"/>
      <c r="AG12" s="23"/>
      <c r="AH12" s="23"/>
      <c r="AI12" s="23"/>
      <c r="AJ12" s="49"/>
      <c r="AK12" s="10"/>
      <c r="AL12" s="23"/>
      <c r="AM12" s="23"/>
      <c r="AN12" s="23"/>
      <c r="AO12" s="49"/>
      <c r="AP12" s="10"/>
      <c r="AQ12" s="23"/>
      <c r="AR12" s="23"/>
      <c r="AS12" s="23"/>
      <c r="AT12" s="49"/>
      <c r="AU12" s="10"/>
      <c r="AV12" s="23"/>
      <c r="AW12" s="23"/>
      <c r="AX12" s="23"/>
      <c r="AY12" s="49"/>
      <c r="AZ12" s="10"/>
      <c r="BA12" s="23"/>
      <c r="BB12" s="23"/>
      <c r="BC12" s="23"/>
      <c r="BD12" s="49"/>
      <c r="BE12" s="10"/>
      <c r="BF12" s="23"/>
      <c r="BG12" s="23"/>
      <c r="BH12" s="23"/>
      <c r="BI12" s="49"/>
      <c r="BJ12" s="10">
        <v>18</v>
      </c>
      <c r="BK12" s="23">
        <v>120</v>
      </c>
      <c r="BL12" s="23">
        <v>2</v>
      </c>
      <c r="BM12" s="23">
        <v>15696</v>
      </c>
      <c r="BN12" s="49">
        <v>8.1600000000000006E-2</v>
      </c>
      <c r="BO12" s="10"/>
      <c r="BP12" s="23"/>
      <c r="BQ12" s="23"/>
      <c r="BR12" s="23"/>
      <c r="BS12" s="49"/>
      <c r="BT12" s="10"/>
      <c r="BU12" s="23"/>
      <c r="BV12" s="23"/>
      <c r="BW12" s="23"/>
      <c r="BX12" s="49"/>
      <c r="BY12" s="10"/>
      <c r="BZ12" s="23"/>
      <c r="CA12" s="23"/>
      <c r="CB12" s="23"/>
      <c r="CC12" s="49"/>
      <c r="CD12" s="10"/>
      <c r="CE12" s="23"/>
      <c r="CF12" s="23"/>
      <c r="CG12" s="23"/>
      <c r="CH12" s="49"/>
      <c r="CI12" s="10"/>
      <c r="CJ12" s="23"/>
      <c r="CK12" s="23"/>
      <c r="CL12" s="23"/>
      <c r="CM12" s="49"/>
      <c r="CN12" s="10"/>
      <c r="CO12" s="23"/>
      <c r="CP12" s="23"/>
      <c r="CQ12" s="23"/>
      <c r="CR12" s="49"/>
      <c r="CS12" s="10"/>
      <c r="CT12" s="23"/>
      <c r="CU12" s="23"/>
      <c r="CV12" s="23"/>
      <c r="CW12" s="49"/>
      <c r="CX12" s="10"/>
      <c r="CY12" s="23"/>
      <c r="CZ12" s="23"/>
      <c r="DA12" s="23"/>
      <c r="DB12" s="23"/>
      <c r="DC12" s="10"/>
      <c r="DD12" s="23"/>
      <c r="DE12" s="23"/>
      <c r="DF12" s="23"/>
      <c r="DG12" s="49"/>
      <c r="DH12" s="10"/>
      <c r="DI12" s="23"/>
      <c r="DJ12" s="23"/>
      <c r="DK12" s="23"/>
      <c r="DL12" s="49"/>
      <c r="DM12" s="10"/>
      <c r="DN12" s="23"/>
      <c r="DO12" s="23"/>
      <c r="DP12" s="23"/>
      <c r="DQ12" s="50"/>
      <c r="DR12" s="10"/>
      <c r="DS12" s="23"/>
      <c r="DT12" s="23"/>
      <c r="DU12" s="23"/>
      <c r="DV12" s="49"/>
      <c r="DW12" s="75"/>
      <c r="DX12" s="50"/>
      <c r="DY12" s="50"/>
      <c r="DZ12" s="50"/>
      <c r="EA12" s="49"/>
      <c r="EB12" s="10"/>
      <c r="EC12" s="23"/>
      <c r="ED12" s="23"/>
      <c r="EE12" s="23"/>
      <c r="EF12" s="23"/>
      <c r="EG12" s="10"/>
      <c r="EH12" s="23"/>
      <c r="EI12" s="23"/>
      <c r="EJ12" s="23"/>
      <c r="EK12" s="49"/>
      <c r="EL12" s="10"/>
      <c r="EM12" s="23"/>
      <c r="EN12" s="23"/>
      <c r="EO12" s="23"/>
      <c r="EP12" s="49"/>
      <c r="EQ12" s="10"/>
      <c r="ER12" s="23"/>
      <c r="ES12" s="23"/>
      <c r="ET12" s="23"/>
      <c r="EU12" s="49"/>
      <c r="EV12" s="23"/>
      <c r="EW12" s="23"/>
      <c r="EX12" s="23"/>
      <c r="EY12" s="23"/>
      <c r="EZ12" s="49"/>
      <c r="FA12" s="10"/>
      <c r="FB12" s="23"/>
      <c r="FC12" s="23"/>
      <c r="FD12" s="23"/>
      <c r="FE12" s="49"/>
      <c r="FF12" s="10"/>
      <c r="FG12" s="23"/>
      <c r="FH12" s="23"/>
      <c r="FI12" s="23"/>
      <c r="FJ12" s="49"/>
    </row>
    <row r="13" spans="1:166" x14ac:dyDescent="0.25">
      <c r="A13" s="23" t="s">
        <v>176</v>
      </c>
      <c r="B13" s="10"/>
      <c r="C13" s="23"/>
      <c r="D13" s="23"/>
      <c r="E13" s="23"/>
      <c r="F13" s="49"/>
      <c r="G13" s="10"/>
      <c r="H13" s="23"/>
      <c r="I13" s="23"/>
      <c r="J13" s="23"/>
      <c r="K13" s="49"/>
      <c r="L13" s="10"/>
      <c r="M13" s="23"/>
      <c r="N13" s="23"/>
      <c r="O13" s="47"/>
      <c r="P13" s="23"/>
      <c r="Q13" s="10"/>
      <c r="R13" s="23"/>
      <c r="S13" s="23"/>
      <c r="T13" s="23"/>
      <c r="U13" s="49"/>
      <c r="V13" s="10"/>
      <c r="W13" s="23"/>
      <c r="X13" s="23"/>
      <c r="Y13" s="23"/>
      <c r="Z13" s="49"/>
      <c r="AA13" s="10"/>
      <c r="AB13" s="23"/>
      <c r="AC13" s="23"/>
      <c r="AD13" s="23"/>
      <c r="AE13" s="49"/>
      <c r="AF13" s="10"/>
      <c r="AG13" s="23"/>
      <c r="AH13" s="23"/>
      <c r="AI13" s="23"/>
      <c r="AJ13" s="49"/>
      <c r="AK13" s="10"/>
      <c r="AL13" s="23"/>
      <c r="AM13" s="23"/>
      <c r="AN13" s="23"/>
      <c r="AO13" s="49"/>
      <c r="AP13" s="10">
        <v>1</v>
      </c>
      <c r="AQ13" s="23">
        <v>32457</v>
      </c>
      <c r="AR13" s="23">
        <v>2143</v>
      </c>
      <c r="AS13" s="23">
        <v>4</v>
      </c>
      <c r="AT13" s="49">
        <v>0.50029999999999997</v>
      </c>
      <c r="AU13" s="10"/>
      <c r="AV13" s="23"/>
      <c r="AW13" s="23"/>
      <c r="AX13" s="23"/>
      <c r="AY13" s="49"/>
      <c r="AZ13" s="10">
        <v>15</v>
      </c>
      <c r="BA13" s="23"/>
      <c r="BB13" s="23"/>
      <c r="BC13" s="23">
        <v>2453.6</v>
      </c>
      <c r="BD13" s="49">
        <v>8.6999999999999994E-3</v>
      </c>
      <c r="BE13" s="10"/>
      <c r="BF13" s="23"/>
      <c r="BG13" s="23"/>
      <c r="BH13" s="23"/>
      <c r="BI13" s="49"/>
      <c r="BJ13" s="10"/>
      <c r="BK13" s="23"/>
      <c r="BL13" s="23"/>
      <c r="BM13" s="23"/>
      <c r="BN13" s="49"/>
      <c r="BO13" s="10">
        <v>15</v>
      </c>
      <c r="BP13" s="23">
        <v>36</v>
      </c>
      <c r="BQ13" s="23">
        <v>3</v>
      </c>
      <c r="BR13" s="23">
        <v>5874</v>
      </c>
      <c r="BS13" s="49">
        <v>0.03</v>
      </c>
      <c r="BT13" s="10">
        <v>4</v>
      </c>
      <c r="BU13" s="23"/>
      <c r="BV13" s="23"/>
      <c r="BW13" s="23">
        <v>8</v>
      </c>
      <c r="BX13" s="49">
        <v>3.0000000000000001E-3</v>
      </c>
      <c r="BY13" s="10"/>
      <c r="BZ13" s="23"/>
      <c r="CA13" s="23"/>
      <c r="CB13" s="23"/>
      <c r="CC13" s="49"/>
      <c r="CD13" s="10">
        <v>1</v>
      </c>
      <c r="CE13" s="23"/>
      <c r="CF13" s="23"/>
      <c r="CG13" s="23">
        <v>11</v>
      </c>
      <c r="CH13" s="49">
        <v>5.0000000000000001E-4</v>
      </c>
      <c r="CI13" s="10"/>
      <c r="CJ13" s="23"/>
      <c r="CK13" s="23"/>
      <c r="CL13" s="23"/>
      <c r="CM13" s="49"/>
      <c r="CN13" s="10"/>
      <c r="CO13" s="23"/>
      <c r="CP13" s="23"/>
      <c r="CQ13" s="23"/>
      <c r="CR13" s="49"/>
      <c r="CS13" s="10"/>
      <c r="CT13" s="23"/>
      <c r="CU13" s="23"/>
      <c r="CV13" s="23"/>
      <c r="CW13" s="49"/>
      <c r="CX13" s="10"/>
      <c r="CY13" s="23"/>
      <c r="CZ13" s="23"/>
      <c r="DA13" s="23"/>
      <c r="DB13" s="23"/>
      <c r="DC13" s="10"/>
      <c r="DD13" s="23"/>
      <c r="DE13" s="23"/>
      <c r="DF13" s="23"/>
      <c r="DG13" s="49"/>
      <c r="DH13" s="10">
        <v>28</v>
      </c>
      <c r="DI13" s="23">
        <v>23264</v>
      </c>
      <c r="DJ13" s="23">
        <v>893</v>
      </c>
      <c r="DK13" s="23">
        <v>8714</v>
      </c>
      <c r="DL13" s="49">
        <v>0.13350000000000001</v>
      </c>
      <c r="DM13" s="10"/>
      <c r="DN13" s="23"/>
      <c r="DO13" s="23"/>
      <c r="DP13" s="23"/>
      <c r="DQ13" s="50"/>
      <c r="DR13" s="10"/>
      <c r="DS13" s="23"/>
      <c r="DT13" s="23"/>
      <c r="DU13" s="23"/>
      <c r="DV13" s="49"/>
      <c r="DW13" s="75">
        <v>16</v>
      </c>
      <c r="DX13" s="50"/>
      <c r="DY13" s="50"/>
      <c r="DZ13" s="50">
        <v>16004.62</v>
      </c>
      <c r="EA13" s="49">
        <v>8.3099999999999993E-2</v>
      </c>
      <c r="EB13" s="10"/>
      <c r="EC13" s="23"/>
      <c r="ED13" s="23"/>
      <c r="EE13" s="23"/>
      <c r="EF13" s="23"/>
      <c r="EG13" s="10"/>
      <c r="EH13" s="23"/>
      <c r="EI13" s="23"/>
      <c r="EJ13" s="23"/>
      <c r="EK13" s="49"/>
      <c r="EL13" s="10">
        <v>10</v>
      </c>
      <c r="EM13" s="23">
        <v>171</v>
      </c>
      <c r="EN13" s="23">
        <v>9</v>
      </c>
      <c r="EO13" s="23">
        <v>1198</v>
      </c>
      <c r="EP13" s="49">
        <v>0.01</v>
      </c>
      <c r="EQ13" s="10"/>
      <c r="ER13" s="23"/>
      <c r="ES13" s="23"/>
      <c r="ET13" s="23"/>
      <c r="EU13" s="49"/>
      <c r="EV13" s="23"/>
      <c r="EW13" s="23"/>
      <c r="EX13" s="23"/>
      <c r="EY13" s="23"/>
      <c r="EZ13" s="49"/>
      <c r="FA13" s="10"/>
      <c r="FB13" s="23"/>
      <c r="FC13" s="23"/>
      <c r="FD13" s="23"/>
      <c r="FE13" s="49"/>
      <c r="FF13" s="10"/>
      <c r="FG13" s="23"/>
      <c r="FH13" s="23"/>
      <c r="FI13" s="23"/>
      <c r="FJ13" s="49"/>
    </row>
    <row r="14" spans="1:166" x14ac:dyDescent="0.25">
      <c r="A14" s="23" t="s">
        <v>177</v>
      </c>
      <c r="B14" s="10"/>
      <c r="C14" s="23"/>
      <c r="D14" s="23"/>
      <c r="E14" s="23"/>
      <c r="F14" s="49"/>
      <c r="G14" s="10"/>
      <c r="H14" s="23"/>
      <c r="I14" s="23"/>
      <c r="J14" s="23"/>
      <c r="K14" s="49"/>
      <c r="L14" s="10"/>
      <c r="M14" s="23"/>
      <c r="N14" s="23"/>
      <c r="O14" s="47"/>
      <c r="P14" s="23"/>
      <c r="Q14" s="10"/>
      <c r="R14" s="23"/>
      <c r="S14" s="23"/>
      <c r="T14" s="23"/>
      <c r="U14" s="49"/>
      <c r="V14" s="10"/>
      <c r="W14" s="23"/>
      <c r="X14" s="23"/>
      <c r="Y14" s="23"/>
      <c r="Z14" s="49"/>
      <c r="AA14" s="10"/>
      <c r="AB14" s="23"/>
      <c r="AC14" s="23"/>
      <c r="AD14" s="23"/>
      <c r="AE14" s="49"/>
      <c r="AF14" s="10"/>
      <c r="AG14" s="23"/>
      <c r="AH14" s="23"/>
      <c r="AI14" s="23"/>
      <c r="AJ14" s="49"/>
      <c r="AK14" s="10"/>
      <c r="AL14" s="23"/>
      <c r="AM14" s="23"/>
      <c r="AN14" s="23"/>
      <c r="AO14" s="49"/>
      <c r="AP14" s="10"/>
      <c r="AQ14" s="23"/>
      <c r="AR14" s="23"/>
      <c r="AS14" s="23"/>
      <c r="AT14" s="49"/>
      <c r="AU14" s="10"/>
      <c r="AV14" s="23"/>
      <c r="AW14" s="23"/>
      <c r="AX14" s="23"/>
      <c r="AY14" s="49"/>
      <c r="AZ14" s="10"/>
      <c r="BA14" s="23"/>
      <c r="BB14" s="23"/>
      <c r="BC14" s="23"/>
      <c r="BD14" s="49"/>
      <c r="BE14" s="10"/>
      <c r="BF14" s="23"/>
      <c r="BG14" s="23"/>
      <c r="BH14" s="23"/>
      <c r="BI14" s="49"/>
      <c r="BJ14" s="10"/>
      <c r="BK14" s="23"/>
      <c r="BL14" s="23"/>
      <c r="BM14" s="23"/>
      <c r="BN14" s="49"/>
      <c r="BO14" s="10"/>
      <c r="BP14" s="23"/>
      <c r="BQ14" s="23"/>
      <c r="BR14" s="23"/>
      <c r="BS14" s="49"/>
      <c r="BT14" s="10"/>
      <c r="BU14" s="23"/>
      <c r="BV14" s="23"/>
      <c r="BW14" s="23"/>
      <c r="BX14" s="49"/>
      <c r="BY14" s="10"/>
      <c r="BZ14" s="23"/>
      <c r="CA14" s="23"/>
      <c r="CB14" s="23"/>
      <c r="CC14" s="49"/>
      <c r="CD14" s="10"/>
      <c r="CE14" s="23"/>
      <c r="CF14" s="23"/>
      <c r="CG14" s="23"/>
      <c r="CH14" s="49"/>
      <c r="CI14" s="10"/>
      <c r="CJ14" s="23"/>
      <c r="CK14" s="23"/>
      <c r="CL14" s="23"/>
      <c r="CM14" s="49"/>
      <c r="CN14" s="10"/>
      <c r="CO14" s="23"/>
      <c r="CP14" s="23"/>
      <c r="CQ14" s="23"/>
      <c r="CR14" s="49"/>
      <c r="CS14" s="10"/>
      <c r="CT14" s="23"/>
      <c r="CU14" s="23"/>
      <c r="CV14" s="23"/>
      <c r="CW14" s="49"/>
      <c r="CX14" s="10"/>
      <c r="CY14" s="23"/>
      <c r="CZ14" s="23"/>
      <c r="DA14" s="23"/>
      <c r="DB14" s="23"/>
      <c r="DC14" s="10"/>
      <c r="DD14" s="23"/>
      <c r="DE14" s="23"/>
      <c r="DF14" s="23"/>
      <c r="DG14" s="49"/>
      <c r="DH14" s="10"/>
      <c r="DI14" s="23"/>
      <c r="DJ14" s="23"/>
      <c r="DK14" s="23"/>
      <c r="DL14" s="49"/>
      <c r="DM14" s="10"/>
      <c r="DN14" s="23"/>
      <c r="DO14" s="23"/>
      <c r="DP14" s="23"/>
      <c r="DQ14" s="50"/>
      <c r="DR14" s="10"/>
      <c r="DS14" s="23"/>
      <c r="DT14" s="23"/>
      <c r="DU14" s="23"/>
      <c r="DV14" s="49"/>
      <c r="DW14" s="75"/>
      <c r="DX14" s="50"/>
      <c r="DY14" s="50"/>
      <c r="DZ14" s="50"/>
      <c r="EA14" s="49"/>
      <c r="EB14" s="10"/>
      <c r="EC14" s="23"/>
      <c r="ED14" s="23"/>
      <c r="EE14" s="23"/>
      <c r="EF14" s="23"/>
      <c r="EG14" s="10"/>
      <c r="EH14" s="23"/>
      <c r="EI14" s="23"/>
      <c r="EJ14" s="23"/>
      <c r="EK14" s="49"/>
      <c r="EL14" s="10"/>
      <c r="EM14" s="23"/>
      <c r="EN14" s="23"/>
      <c r="EO14" s="23"/>
      <c r="EP14" s="49"/>
      <c r="EQ14" s="10"/>
      <c r="ER14" s="23"/>
      <c r="ES14" s="23"/>
      <c r="ET14" s="23"/>
      <c r="EU14" s="49"/>
      <c r="EV14" s="23"/>
      <c r="EW14" s="23">
        <v>389</v>
      </c>
      <c r="EX14" s="23">
        <v>52</v>
      </c>
      <c r="EY14" s="23"/>
      <c r="EZ14" s="49">
        <v>3.8E-3</v>
      </c>
      <c r="FA14" s="10"/>
      <c r="FB14" s="23"/>
      <c r="FC14" s="23"/>
      <c r="FD14" s="23"/>
      <c r="FE14" s="49"/>
      <c r="FF14" s="10"/>
      <c r="FG14" s="23"/>
      <c r="FH14" s="23"/>
      <c r="FI14" s="23"/>
      <c r="FJ14" s="49"/>
    </row>
    <row r="15" spans="1:166" s="54" customFormat="1" x14ac:dyDescent="0.25">
      <c r="A15" s="25" t="s">
        <v>150</v>
      </c>
      <c r="B15" s="43">
        <f t="shared" ref="B15:U15" si="0">SUM(B5:B14)</f>
        <v>5</v>
      </c>
      <c r="C15" s="25">
        <f t="shared" si="0"/>
        <v>4536.29</v>
      </c>
      <c r="D15" s="25">
        <f t="shared" si="0"/>
        <v>98.740000000000009</v>
      </c>
      <c r="E15" s="25">
        <f t="shared" si="0"/>
        <v>4.1500000000000004</v>
      </c>
      <c r="F15" s="51">
        <f t="shared" si="0"/>
        <v>0.99990000000000001</v>
      </c>
      <c r="G15" s="43">
        <f t="shared" si="0"/>
        <v>5</v>
      </c>
      <c r="H15" s="25">
        <f t="shared" si="0"/>
        <v>7920.06</v>
      </c>
      <c r="I15" s="25">
        <f t="shared" si="0"/>
        <v>25.69</v>
      </c>
      <c r="J15" s="25">
        <f t="shared" si="0"/>
        <v>0</v>
      </c>
      <c r="K15" s="51">
        <f t="shared" si="0"/>
        <v>1</v>
      </c>
      <c r="L15" s="43">
        <f t="shared" si="0"/>
        <v>65</v>
      </c>
      <c r="M15" s="25">
        <f t="shared" si="0"/>
        <v>333673.47000000003</v>
      </c>
      <c r="N15" s="25">
        <f t="shared" si="0"/>
        <v>15780.2</v>
      </c>
      <c r="O15" s="51">
        <f t="shared" si="0"/>
        <v>8320.66</v>
      </c>
      <c r="P15" s="51">
        <f t="shared" si="0"/>
        <v>1.0001</v>
      </c>
      <c r="Q15" s="43">
        <f t="shared" si="0"/>
        <v>199</v>
      </c>
      <c r="R15" s="25">
        <f t="shared" si="0"/>
        <v>247088.83000000002</v>
      </c>
      <c r="S15" s="25">
        <f t="shared" si="0"/>
        <v>10996.619999999999</v>
      </c>
      <c r="T15" s="25">
        <f t="shared" si="0"/>
        <v>40420.15</v>
      </c>
      <c r="U15" s="51">
        <f t="shared" si="0"/>
        <v>1</v>
      </c>
      <c r="V15" s="43">
        <f>SUM(V5:V14)</f>
        <v>147</v>
      </c>
      <c r="W15" s="25">
        <f t="shared" ref="W15:CH15" si="1">SUM(W5:W14)</f>
        <v>66465.336110000004</v>
      </c>
      <c r="X15" s="25">
        <f t="shared" si="1"/>
        <v>5455.29486</v>
      </c>
      <c r="Y15" s="25">
        <f t="shared" si="1"/>
        <v>1336.97768</v>
      </c>
      <c r="Z15" s="51">
        <v>1</v>
      </c>
      <c r="AA15" s="43">
        <f t="shared" si="1"/>
        <v>0</v>
      </c>
      <c r="AB15" s="25">
        <f t="shared" si="1"/>
        <v>2687.67</v>
      </c>
      <c r="AC15" s="25">
        <f t="shared" si="1"/>
        <v>319.77</v>
      </c>
      <c r="AD15" s="25">
        <f t="shared" si="1"/>
        <v>3185.63</v>
      </c>
      <c r="AE15" s="51">
        <v>1</v>
      </c>
      <c r="AF15" s="43">
        <f t="shared" si="1"/>
        <v>11</v>
      </c>
      <c r="AG15" s="25">
        <f t="shared" si="1"/>
        <v>8536</v>
      </c>
      <c r="AH15" s="25">
        <f t="shared" si="1"/>
        <v>1606</v>
      </c>
      <c r="AI15" s="25">
        <f t="shared" si="1"/>
        <v>0</v>
      </c>
      <c r="AJ15" s="51">
        <f t="shared" si="1"/>
        <v>1</v>
      </c>
      <c r="AK15" s="43">
        <f t="shared" si="1"/>
        <v>19</v>
      </c>
      <c r="AL15" s="25">
        <f t="shared" si="1"/>
        <v>1478.05</v>
      </c>
      <c r="AM15" s="25">
        <f t="shared" si="1"/>
        <v>142.31</v>
      </c>
      <c r="AN15" s="25">
        <f t="shared" si="1"/>
        <v>15.43</v>
      </c>
      <c r="AO15" s="51">
        <f t="shared" si="1"/>
        <v>1</v>
      </c>
      <c r="AP15" s="43">
        <f t="shared" si="1"/>
        <v>101</v>
      </c>
      <c r="AQ15" s="25">
        <f t="shared" si="1"/>
        <v>59743</v>
      </c>
      <c r="AR15" s="25">
        <f t="shared" si="1"/>
        <v>6821</v>
      </c>
      <c r="AS15" s="25">
        <f t="shared" si="1"/>
        <v>2601</v>
      </c>
      <c r="AT15" s="51">
        <f t="shared" si="1"/>
        <v>1</v>
      </c>
      <c r="AU15" s="43">
        <f t="shared" si="1"/>
        <v>55</v>
      </c>
      <c r="AV15" s="25">
        <f t="shared" si="1"/>
        <v>31263</v>
      </c>
      <c r="AW15" s="25">
        <f t="shared" si="1"/>
        <v>967</v>
      </c>
      <c r="AX15" s="25">
        <f t="shared" si="1"/>
        <v>1557</v>
      </c>
      <c r="AY15" s="51">
        <f t="shared" si="1"/>
        <v>1</v>
      </c>
      <c r="AZ15" s="43">
        <f t="shared" si="1"/>
        <v>162</v>
      </c>
      <c r="BA15" s="25">
        <f t="shared" si="1"/>
        <v>260955.6</v>
      </c>
      <c r="BB15" s="25">
        <f t="shared" si="1"/>
        <v>9640.7999999999993</v>
      </c>
      <c r="BC15" s="25">
        <f t="shared" si="1"/>
        <v>10398.1</v>
      </c>
      <c r="BD15" s="51">
        <f t="shared" si="1"/>
        <v>0.99999999999999989</v>
      </c>
      <c r="BE15" s="43">
        <f t="shared" si="1"/>
        <v>7</v>
      </c>
      <c r="BF15" s="25">
        <f t="shared" si="1"/>
        <v>30706</v>
      </c>
      <c r="BG15" s="25">
        <f t="shared" si="1"/>
        <v>62</v>
      </c>
      <c r="BH15" s="25">
        <f t="shared" si="1"/>
        <v>0</v>
      </c>
      <c r="BI15" s="51">
        <f t="shared" si="1"/>
        <v>1</v>
      </c>
      <c r="BJ15" s="43">
        <f t="shared" si="1"/>
        <v>229</v>
      </c>
      <c r="BK15" s="25">
        <f t="shared" si="1"/>
        <v>146296</v>
      </c>
      <c r="BL15" s="25">
        <f t="shared" si="1"/>
        <v>11418</v>
      </c>
      <c r="BM15" s="25">
        <f t="shared" si="1"/>
        <v>36027</v>
      </c>
      <c r="BN15" s="51">
        <f t="shared" si="1"/>
        <v>1</v>
      </c>
      <c r="BO15" s="43">
        <f t="shared" si="1"/>
        <v>186</v>
      </c>
      <c r="BP15" s="25">
        <f t="shared" si="1"/>
        <v>144662</v>
      </c>
      <c r="BQ15" s="25">
        <f t="shared" si="1"/>
        <v>5638</v>
      </c>
      <c r="BR15" s="25">
        <f t="shared" si="1"/>
        <v>20339</v>
      </c>
      <c r="BS15" s="51">
        <f t="shared" si="1"/>
        <v>1</v>
      </c>
      <c r="BT15" s="43">
        <f t="shared" si="1"/>
        <v>9</v>
      </c>
      <c r="BU15" s="25">
        <f t="shared" si="1"/>
        <v>2591</v>
      </c>
      <c r="BV15" s="25">
        <f t="shared" si="1"/>
        <v>250</v>
      </c>
      <c r="BW15" s="25">
        <f t="shared" si="1"/>
        <v>56</v>
      </c>
      <c r="BX15" s="51">
        <f t="shared" si="1"/>
        <v>1.0009999999999999</v>
      </c>
      <c r="BY15" s="43">
        <f t="shared" si="1"/>
        <v>22</v>
      </c>
      <c r="BZ15" s="25">
        <f t="shared" si="1"/>
        <v>4244</v>
      </c>
      <c r="CA15" s="25">
        <f t="shared" si="1"/>
        <v>937</v>
      </c>
      <c r="CB15" s="25">
        <f t="shared" si="1"/>
        <v>0</v>
      </c>
      <c r="CC15" s="51">
        <f t="shared" si="1"/>
        <v>1.0003</v>
      </c>
      <c r="CD15" s="43">
        <f t="shared" si="1"/>
        <v>41</v>
      </c>
      <c r="CE15" s="25">
        <f t="shared" si="1"/>
        <v>19439</v>
      </c>
      <c r="CF15" s="25">
        <f t="shared" si="1"/>
        <v>426</v>
      </c>
      <c r="CG15" s="25">
        <f t="shared" si="1"/>
        <v>1917</v>
      </c>
      <c r="CH15" s="51">
        <f t="shared" si="1"/>
        <v>1</v>
      </c>
      <c r="CI15" s="43">
        <f t="shared" ref="CI15:EY15" si="2">SUM(CI5:CI14)</f>
        <v>2</v>
      </c>
      <c r="CJ15" s="25">
        <f t="shared" si="2"/>
        <v>936.85</v>
      </c>
      <c r="CK15" s="25">
        <f t="shared" si="2"/>
        <v>24.71</v>
      </c>
      <c r="CL15" s="25">
        <f t="shared" si="2"/>
        <v>6.99</v>
      </c>
      <c r="CM15" s="51">
        <f t="shared" si="2"/>
        <v>1</v>
      </c>
      <c r="CN15" s="43">
        <f t="shared" si="2"/>
        <v>4</v>
      </c>
      <c r="CO15" s="25">
        <f t="shared" si="2"/>
        <v>16699</v>
      </c>
      <c r="CP15" s="25">
        <f t="shared" si="2"/>
        <v>46</v>
      </c>
      <c r="CQ15" s="25">
        <f t="shared" si="2"/>
        <v>0</v>
      </c>
      <c r="CR15" s="51">
        <f t="shared" si="2"/>
        <v>1</v>
      </c>
      <c r="CS15" s="43">
        <f t="shared" si="2"/>
        <v>0</v>
      </c>
      <c r="CT15" s="25">
        <f t="shared" si="2"/>
        <v>44780.639999999999</v>
      </c>
      <c r="CU15" s="25">
        <f t="shared" si="2"/>
        <v>11444.740000000002</v>
      </c>
      <c r="CV15" s="25">
        <f t="shared" si="2"/>
        <v>29555.97</v>
      </c>
      <c r="CW15" s="51">
        <f t="shared" si="2"/>
        <v>0.99990000000000012</v>
      </c>
      <c r="CX15" s="43">
        <f t="shared" si="2"/>
        <v>17</v>
      </c>
      <c r="CY15" s="25">
        <f t="shared" si="2"/>
        <v>338.27</v>
      </c>
      <c r="CZ15" s="25">
        <f t="shared" si="2"/>
        <v>230.78</v>
      </c>
      <c r="DA15" s="25">
        <f t="shared" si="2"/>
        <v>0</v>
      </c>
      <c r="DB15" s="51">
        <f t="shared" si="2"/>
        <v>1</v>
      </c>
      <c r="DC15" s="43">
        <f t="shared" si="2"/>
        <v>8</v>
      </c>
      <c r="DD15" s="25">
        <f t="shared" si="2"/>
        <v>975</v>
      </c>
      <c r="DE15" s="25">
        <f t="shared" si="2"/>
        <v>805</v>
      </c>
      <c r="DF15" s="25">
        <f t="shared" si="2"/>
        <v>485</v>
      </c>
      <c r="DG15" s="51">
        <f t="shared" si="2"/>
        <v>1</v>
      </c>
      <c r="DH15" s="43">
        <f t="shared" si="2"/>
        <v>205</v>
      </c>
      <c r="DI15" s="25">
        <f t="shared" si="2"/>
        <v>218591</v>
      </c>
      <c r="DJ15" s="25">
        <f t="shared" si="2"/>
        <v>10700</v>
      </c>
      <c r="DK15" s="25">
        <f t="shared" si="2"/>
        <v>17026</v>
      </c>
      <c r="DL15" s="51">
        <f t="shared" si="2"/>
        <v>1.0030000000000001</v>
      </c>
      <c r="DM15" s="43">
        <f t="shared" si="2"/>
        <v>2</v>
      </c>
      <c r="DN15" s="25">
        <f t="shared" si="2"/>
        <v>27811</v>
      </c>
      <c r="DO15" s="25">
        <f t="shared" si="2"/>
        <v>298</v>
      </c>
      <c r="DP15" s="25">
        <f t="shared" si="2"/>
        <v>9</v>
      </c>
      <c r="DQ15" s="78">
        <f t="shared" si="2"/>
        <v>1</v>
      </c>
      <c r="DR15" s="43">
        <f t="shared" si="2"/>
        <v>77</v>
      </c>
      <c r="DS15" s="25">
        <f t="shared" si="2"/>
        <v>34413.79</v>
      </c>
      <c r="DT15" s="25">
        <f t="shared" si="2"/>
        <v>1623.06</v>
      </c>
      <c r="DU15" s="25">
        <f t="shared" si="2"/>
        <v>1711.4199999999998</v>
      </c>
      <c r="DV15" s="51">
        <f t="shared" si="2"/>
        <v>1</v>
      </c>
      <c r="DW15" s="43">
        <f t="shared" ref="DW15" si="3">SUM(DW5:DW14)</f>
        <v>180</v>
      </c>
      <c r="DX15" s="25">
        <f t="shared" ref="DX15" si="4">SUM(DX5:DX14)</f>
        <v>167423.41</v>
      </c>
      <c r="DY15" s="25">
        <f t="shared" ref="DY15" si="5">SUM(DY5:DY14)</f>
        <v>7171.41</v>
      </c>
      <c r="DZ15" s="25">
        <f t="shared" ref="DZ15" si="6">SUM(DZ5:DZ14)</f>
        <v>18012</v>
      </c>
      <c r="EA15" s="51">
        <f t="shared" ref="EA15" si="7">SUM(EA5:EA14)</f>
        <v>0.9998999999999999</v>
      </c>
      <c r="EB15" s="43">
        <f t="shared" si="2"/>
        <v>28</v>
      </c>
      <c r="EC15" s="25">
        <f t="shared" si="2"/>
        <v>3367.84</v>
      </c>
      <c r="ED15" s="25">
        <f t="shared" si="2"/>
        <v>436.1</v>
      </c>
      <c r="EE15" s="25">
        <f t="shared" si="2"/>
        <v>58.56</v>
      </c>
      <c r="EF15" s="51">
        <f t="shared" si="2"/>
        <v>0.98730000000000007</v>
      </c>
      <c r="EG15" s="43">
        <f t="shared" si="2"/>
        <v>4</v>
      </c>
      <c r="EH15" s="25">
        <f t="shared" si="2"/>
        <v>63243.199999999997</v>
      </c>
      <c r="EI15" s="25">
        <f t="shared" si="2"/>
        <v>110.45</v>
      </c>
      <c r="EJ15" s="25">
        <f t="shared" si="2"/>
        <v>0</v>
      </c>
      <c r="EK15" s="51">
        <f t="shared" si="2"/>
        <v>1</v>
      </c>
      <c r="EL15" s="43">
        <f t="shared" si="2"/>
        <v>135</v>
      </c>
      <c r="EM15" s="25">
        <f t="shared" si="2"/>
        <v>118448</v>
      </c>
      <c r="EN15" s="25">
        <f t="shared" si="2"/>
        <v>6190</v>
      </c>
      <c r="EO15" s="25">
        <f t="shared" si="2"/>
        <v>13704</v>
      </c>
      <c r="EP15" s="51">
        <f t="shared" si="2"/>
        <v>1.0001</v>
      </c>
      <c r="EQ15" s="43">
        <f t="shared" si="2"/>
        <v>361</v>
      </c>
      <c r="ER15" s="25">
        <f t="shared" si="2"/>
        <v>70974</v>
      </c>
      <c r="ES15" s="25">
        <f t="shared" si="2"/>
        <v>12750</v>
      </c>
      <c r="ET15" s="25">
        <f t="shared" si="2"/>
        <v>19249.939999999999</v>
      </c>
      <c r="EU15" s="51">
        <f t="shared" si="2"/>
        <v>1</v>
      </c>
      <c r="EV15" s="25">
        <f t="shared" si="2"/>
        <v>0</v>
      </c>
      <c r="EW15" s="25">
        <f t="shared" si="2"/>
        <v>77558</v>
      </c>
      <c r="EX15" s="25">
        <f t="shared" si="2"/>
        <v>14298</v>
      </c>
      <c r="EY15" s="25">
        <f t="shared" si="2"/>
        <v>24540</v>
      </c>
      <c r="EZ15" s="51">
        <f t="shared" ref="EZ15:FJ15" si="8">SUM(EZ5:EZ14)</f>
        <v>1.0001</v>
      </c>
      <c r="FA15" s="43">
        <f t="shared" si="8"/>
        <v>273</v>
      </c>
      <c r="FB15" s="25">
        <f t="shared" si="8"/>
        <v>752.67</v>
      </c>
      <c r="FC15" s="25">
        <f t="shared" si="8"/>
        <v>236.54000000000002</v>
      </c>
      <c r="FD15" s="25">
        <f t="shared" si="8"/>
        <v>518.23</v>
      </c>
      <c r="FE15" s="51">
        <f t="shared" si="8"/>
        <v>1</v>
      </c>
      <c r="FF15" s="43">
        <f t="shared" si="8"/>
        <v>109</v>
      </c>
      <c r="FG15" s="25">
        <f t="shared" si="8"/>
        <v>57892</v>
      </c>
      <c r="FH15" s="25">
        <f t="shared" si="8"/>
        <v>4519</v>
      </c>
      <c r="FI15" s="25">
        <f t="shared" si="8"/>
        <v>6687</v>
      </c>
      <c r="FJ15" s="51">
        <f t="shared" si="8"/>
        <v>0.99990000000000001</v>
      </c>
    </row>
  </sheetData>
  <mergeCells count="133">
    <mergeCell ref="A3:A4"/>
    <mergeCell ref="FB3:FD3"/>
    <mergeCell ref="FE3:FE4"/>
    <mergeCell ref="FF3:FF4"/>
    <mergeCell ref="FG3:FI3"/>
    <mergeCell ref="FJ3:FJ4"/>
    <mergeCell ref="ER3:ET3"/>
    <mergeCell ref="EU3:EU4"/>
    <mergeCell ref="EV3:EV4"/>
    <mergeCell ref="EW3:EY3"/>
    <mergeCell ref="EZ3:EZ4"/>
    <mergeCell ref="FA3:FA4"/>
    <mergeCell ref="EH3:EJ3"/>
    <mergeCell ref="EK3:EK4"/>
    <mergeCell ref="EL3:EL4"/>
    <mergeCell ref="EM3:EO3"/>
    <mergeCell ref="EP3:EP4"/>
    <mergeCell ref="EQ3:EQ4"/>
    <mergeCell ref="DS3:DU3"/>
    <mergeCell ref="DV3:DV4"/>
    <mergeCell ref="EB3:EB4"/>
    <mergeCell ref="EC3:EE3"/>
    <mergeCell ref="EF3:EF4"/>
    <mergeCell ref="EG3:EG4"/>
    <mergeCell ref="DI3:DK3"/>
    <mergeCell ref="DL3:DL4"/>
    <mergeCell ref="DM3:DM4"/>
    <mergeCell ref="DN3:DP3"/>
    <mergeCell ref="DQ3:DQ4"/>
    <mergeCell ref="DR3:DR4"/>
    <mergeCell ref="DW3:DW4"/>
    <mergeCell ref="DX3:DZ3"/>
    <mergeCell ref="EA3:EA4"/>
    <mergeCell ref="CY3:DA3"/>
    <mergeCell ref="DB3:DB4"/>
    <mergeCell ref="DC3:DC4"/>
    <mergeCell ref="DD3:DF3"/>
    <mergeCell ref="DG3:DG4"/>
    <mergeCell ref="DH3:DH4"/>
    <mergeCell ref="CO3:CQ3"/>
    <mergeCell ref="CR3:CR4"/>
    <mergeCell ref="CS3:CS4"/>
    <mergeCell ref="CT3:CV3"/>
    <mergeCell ref="CW3:CW4"/>
    <mergeCell ref="CX3:CX4"/>
    <mergeCell ref="CE3:CG3"/>
    <mergeCell ref="CH3:CH4"/>
    <mergeCell ref="CI3:CI4"/>
    <mergeCell ref="CJ3:CL3"/>
    <mergeCell ref="CM3:CM4"/>
    <mergeCell ref="CN3:CN4"/>
    <mergeCell ref="BU3:BW3"/>
    <mergeCell ref="BX3:BX4"/>
    <mergeCell ref="BY3:BY4"/>
    <mergeCell ref="BZ3:CB3"/>
    <mergeCell ref="CC3:CC4"/>
    <mergeCell ref="CD3:CD4"/>
    <mergeCell ref="BN3:BN4"/>
    <mergeCell ref="BO3:BO4"/>
    <mergeCell ref="BP3:BR3"/>
    <mergeCell ref="BS3:BS4"/>
    <mergeCell ref="BT3:BT4"/>
    <mergeCell ref="BA3:BC3"/>
    <mergeCell ref="BD3:BD4"/>
    <mergeCell ref="BE3:BE4"/>
    <mergeCell ref="BF3:BH3"/>
    <mergeCell ref="BI3:BI4"/>
    <mergeCell ref="BJ3:BJ4"/>
    <mergeCell ref="AY3:AY4"/>
    <mergeCell ref="AZ3:AZ4"/>
    <mergeCell ref="AG3:AI3"/>
    <mergeCell ref="AJ3:AJ4"/>
    <mergeCell ref="AK3:AK4"/>
    <mergeCell ref="AL3:AN3"/>
    <mergeCell ref="AO3:AO4"/>
    <mergeCell ref="AP3:AP4"/>
    <mergeCell ref="BK3:BM3"/>
    <mergeCell ref="P3:P4"/>
    <mergeCell ref="Q3:Q4"/>
    <mergeCell ref="R3:T3"/>
    <mergeCell ref="U3:U4"/>
    <mergeCell ref="V3:V4"/>
    <mergeCell ref="AQ3:AS3"/>
    <mergeCell ref="AT3:AT4"/>
    <mergeCell ref="AU3:AU4"/>
    <mergeCell ref="AV3:AX3"/>
    <mergeCell ref="B3:B4"/>
    <mergeCell ref="C3:E3"/>
    <mergeCell ref="F3:F4"/>
    <mergeCell ref="G3:G4"/>
    <mergeCell ref="H3:J3"/>
    <mergeCell ref="K3:K4"/>
    <mergeCell ref="L3:L4"/>
    <mergeCell ref="DR2:DV2"/>
    <mergeCell ref="EB2:EF2"/>
    <mergeCell ref="CN2:CR2"/>
    <mergeCell ref="CS2:CW2"/>
    <mergeCell ref="CX2:DB2"/>
    <mergeCell ref="DC2:DG2"/>
    <mergeCell ref="DH2:DL2"/>
    <mergeCell ref="DM2:DQ2"/>
    <mergeCell ref="BJ2:BN2"/>
    <mergeCell ref="BO2:BS2"/>
    <mergeCell ref="W3:Y3"/>
    <mergeCell ref="Z3:Z4"/>
    <mergeCell ref="AA3:AA4"/>
    <mergeCell ref="AB3:AD3"/>
    <mergeCell ref="AE3:AE4"/>
    <mergeCell ref="AF3:AF4"/>
    <mergeCell ref="M3:O3"/>
    <mergeCell ref="CI2:CM2"/>
    <mergeCell ref="AF2:AJ2"/>
    <mergeCell ref="AK2:AO2"/>
    <mergeCell ref="AP2:AT2"/>
    <mergeCell ref="AU2:AY2"/>
    <mergeCell ref="AZ2:BD2"/>
    <mergeCell ref="BE2:BI2"/>
    <mergeCell ref="FA2:FE2"/>
    <mergeCell ref="FF2:FJ2"/>
    <mergeCell ref="DW2:EA2"/>
    <mergeCell ref="EG2:EK2"/>
    <mergeCell ref="EL2:EP2"/>
    <mergeCell ref="EQ2:EU2"/>
    <mergeCell ref="EV2:EZ2"/>
    <mergeCell ref="B2:F2"/>
    <mergeCell ref="G2:K2"/>
    <mergeCell ref="L2:P2"/>
    <mergeCell ref="Q2:U2"/>
    <mergeCell ref="V2:Z2"/>
    <mergeCell ref="AA2:AE2"/>
    <mergeCell ref="BT2:BX2"/>
    <mergeCell ref="BY2:CC2"/>
    <mergeCell ref="CD2:C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7" customWidth="1"/>
    <col min="2" max="100" width="10.85546875" style="7" customWidth="1"/>
    <col min="101" max="16384" width="9.140625" style="7"/>
  </cols>
  <sheetData>
    <row r="1" spans="1:100" ht="18.75" x14ac:dyDescent="0.3">
      <c r="A1" s="9" t="s">
        <v>283</v>
      </c>
    </row>
    <row r="2" spans="1:100" x14ac:dyDescent="0.25">
      <c r="A2" s="7" t="s">
        <v>161</v>
      </c>
    </row>
    <row r="3" spans="1:100" x14ac:dyDescent="0.25">
      <c r="A3" s="1" t="s">
        <v>0</v>
      </c>
      <c r="B3" s="122" t="s">
        <v>1</v>
      </c>
      <c r="C3" s="122"/>
      <c r="D3" s="122"/>
      <c r="E3" s="122" t="s">
        <v>285</v>
      </c>
      <c r="F3" s="122"/>
      <c r="G3" s="122"/>
      <c r="H3" s="122" t="s">
        <v>2</v>
      </c>
      <c r="I3" s="122"/>
      <c r="J3" s="122"/>
      <c r="K3" s="122" t="s">
        <v>3</v>
      </c>
      <c r="L3" s="122"/>
      <c r="M3" s="122"/>
      <c r="N3" s="122" t="s">
        <v>4</v>
      </c>
      <c r="O3" s="122"/>
      <c r="P3" s="122"/>
      <c r="Q3" s="122" t="s">
        <v>286</v>
      </c>
      <c r="R3" s="122"/>
      <c r="S3" s="122"/>
      <c r="T3" s="122" t="s">
        <v>6</v>
      </c>
      <c r="U3" s="122"/>
      <c r="V3" s="122"/>
      <c r="W3" s="122" t="s">
        <v>5</v>
      </c>
      <c r="X3" s="122"/>
      <c r="Y3" s="122"/>
      <c r="Z3" s="122" t="s">
        <v>7</v>
      </c>
      <c r="AA3" s="122"/>
      <c r="AB3" s="122"/>
      <c r="AC3" s="122" t="s">
        <v>287</v>
      </c>
      <c r="AD3" s="122"/>
      <c r="AE3" s="122"/>
      <c r="AF3" s="122" t="s">
        <v>8</v>
      </c>
      <c r="AG3" s="122"/>
      <c r="AH3" s="122"/>
      <c r="AI3" s="122" t="s">
        <v>288</v>
      </c>
      <c r="AJ3" s="122"/>
      <c r="AK3" s="122"/>
      <c r="AL3" s="122" t="s">
        <v>9</v>
      </c>
      <c r="AM3" s="122"/>
      <c r="AN3" s="122"/>
      <c r="AO3" s="122" t="s">
        <v>10</v>
      </c>
      <c r="AP3" s="122"/>
      <c r="AQ3" s="122"/>
      <c r="AR3" s="122" t="s">
        <v>289</v>
      </c>
      <c r="AS3" s="122"/>
      <c r="AT3" s="122"/>
      <c r="AU3" s="122" t="s">
        <v>11</v>
      </c>
      <c r="AV3" s="122"/>
      <c r="AW3" s="122"/>
      <c r="AX3" s="122" t="s">
        <v>12</v>
      </c>
      <c r="AY3" s="122"/>
      <c r="AZ3" s="122"/>
      <c r="BA3" s="122" t="s">
        <v>290</v>
      </c>
      <c r="BB3" s="122"/>
      <c r="BC3" s="122"/>
      <c r="BD3" s="122" t="s">
        <v>299</v>
      </c>
      <c r="BE3" s="122"/>
      <c r="BF3" s="122"/>
      <c r="BG3" s="122" t="s">
        <v>13</v>
      </c>
      <c r="BH3" s="122"/>
      <c r="BI3" s="122"/>
      <c r="BJ3" s="122" t="s">
        <v>291</v>
      </c>
      <c r="BK3" s="122"/>
      <c r="BL3" s="122"/>
      <c r="BM3" s="122" t="s">
        <v>292</v>
      </c>
      <c r="BN3" s="122"/>
      <c r="BO3" s="122"/>
      <c r="BP3" s="122" t="s">
        <v>307</v>
      </c>
      <c r="BQ3" s="122"/>
      <c r="BR3" s="122"/>
      <c r="BS3" s="122" t="s">
        <v>293</v>
      </c>
      <c r="BT3" s="122"/>
      <c r="BU3" s="122"/>
      <c r="BV3" s="122" t="s">
        <v>14</v>
      </c>
      <c r="BW3" s="122"/>
      <c r="BX3" s="122"/>
      <c r="BY3" s="122" t="s">
        <v>15</v>
      </c>
      <c r="BZ3" s="122"/>
      <c r="CA3" s="122"/>
      <c r="CB3" s="122" t="s">
        <v>16</v>
      </c>
      <c r="CC3" s="122"/>
      <c r="CD3" s="122"/>
      <c r="CE3" s="122" t="s">
        <v>17</v>
      </c>
      <c r="CF3" s="122"/>
      <c r="CG3" s="122"/>
      <c r="CH3" s="122" t="s">
        <v>18</v>
      </c>
      <c r="CI3" s="122"/>
      <c r="CJ3" s="122"/>
      <c r="CK3" s="122" t="s">
        <v>294</v>
      </c>
      <c r="CL3" s="122"/>
      <c r="CM3" s="122"/>
      <c r="CN3" s="122" t="s">
        <v>295</v>
      </c>
      <c r="CO3" s="122"/>
      <c r="CP3" s="122"/>
      <c r="CQ3" s="122" t="s">
        <v>19</v>
      </c>
      <c r="CR3" s="122"/>
      <c r="CS3" s="122"/>
      <c r="CT3" s="122" t="s">
        <v>20</v>
      </c>
      <c r="CU3" s="122"/>
      <c r="CV3" s="122"/>
    </row>
    <row r="4" spans="1:100" x14ac:dyDescent="0.25">
      <c r="A4" s="10"/>
      <c r="B4" s="40" t="s">
        <v>148</v>
      </c>
      <c r="C4" s="40" t="s">
        <v>149</v>
      </c>
      <c r="D4" s="40" t="s">
        <v>150</v>
      </c>
      <c r="E4" s="40" t="s">
        <v>148</v>
      </c>
      <c r="F4" s="40" t="s">
        <v>149</v>
      </c>
      <c r="G4" s="40" t="s">
        <v>150</v>
      </c>
      <c r="H4" s="40" t="s">
        <v>148</v>
      </c>
      <c r="I4" s="40" t="s">
        <v>149</v>
      </c>
      <c r="J4" s="40" t="s">
        <v>150</v>
      </c>
      <c r="K4" s="40" t="s">
        <v>148</v>
      </c>
      <c r="L4" s="40" t="s">
        <v>149</v>
      </c>
      <c r="M4" s="40" t="s">
        <v>150</v>
      </c>
      <c r="N4" s="40" t="s">
        <v>148</v>
      </c>
      <c r="O4" s="40" t="s">
        <v>149</v>
      </c>
      <c r="P4" s="40" t="s">
        <v>150</v>
      </c>
      <c r="Q4" s="40" t="s">
        <v>148</v>
      </c>
      <c r="R4" s="40" t="s">
        <v>149</v>
      </c>
      <c r="S4" s="40" t="s">
        <v>150</v>
      </c>
      <c r="T4" s="40" t="s">
        <v>148</v>
      </c>
      <c r="U4" s="40" t="s">
        <v>149</v>
      </c>
      <c r="V4" s="40" t="s">
        <v>150</v>
      </c>
      <c r="W4" s="40" t="s">
        <v>148</v>
      </c>
      <c r="X4" s="40" t="s">
        <v>149</v>
      </c>
      <c r="Y4" s="40" t="s">
        <v>150</v>
      </c>
      <c r="Z4" s="40" t="s">
        <v>148</v>
      </c>
      <c r="AA4" s="40" t="s">
        <v>149</v>
      </c>
      <c r="AB4" s="40" t="s">
        <v>150</v>
      </c>
      <c r="AC4" s="40" t="s">
        <v>148</v>
      </c>
      <c r="AD4" s="40" t="s">
        <v>149</v>
      </c>
      <c r="AE4" s="40" t="s">
        <v>150</v>
      </c>
      <c r="AF4" s="40" t="s">
        <v>148</v>
      </c>
      <c r="AG4" s="40" t="s">
        <v>149</v>
      </c>
      <c r="AH4" s="40" t="s">
        <v>150</v>
      </c>
      <c r="AI4" s="40" t="s">
        <v>148</v>
      </c>
      <c r="AJ4" s="40" t="s">
        <v>149</v>
      </c>
      <c r="AK4" s="40" t="s">
        <v>150</v>
      </c>
      <c r="AL4" s="40" t="s">
        <v>148</v>
      </c>
      <c r="AM4" s="40" t="s">
        <v>149</v>
      </c>
      <c r="AN4" s="40" t="s">
        <v>150</v>
      </c>
      <c r="AO4" s="40" t="s">
        <v>148</v>
      </c>
      <c r="AP4" s="40" t="s">
        <v>149</v>
      </c>
      <c r="AQ4" s="40" t="s">
        <v>150</v>
      </c>
      <c r="AR4" s="40" t="s">
        <v>148</v>
      </c>
      <c r="AS4" s="40" t="s">
        <v>149</v>
      </c>
      <c r="AT4" s="40" t="s">
        <v>150</v>
      </c>
      <c r="AU4" s="40" t="s">
        <v>148</v>
      </c>
      <c r="AV4" s="40" t="s">
        <v>149</v>
      </c>
      <c r="AW4" s="40" t="s">
        <v>150</v>
      </c>
      <c r="AX4" s="40" t="s">
        <v>148</v>
      </c>
      <c r="AY4" s="40" t="s">
        <v>149</v>
      </c>
      <c r="AZ4" s="40" t="s">
        <v>150</v>
      </c>
      <c r="BA4" s="40" t="s">
        <v>148</v>
      </c>
      <c r="BB4" s="40" t="s">
        <v>149</v>
      </c>
      <c r="BC4" s="40" t="s">
        <v>150</v>
      </c>
      <c r="BD4" s="40" t="s">
        <v>148</v>
      </c>
      <c r="BE4" s="40" t="s">
        <v>149</v>
      </c>
      <c r="BF4" s="40" t="s">
        <v>150</v>
      </c>
      <c r="BG4" s="40" t="s">
        <v>148</v>
      </c>
      <c r="BH4" s="40" t="s">
        <v>149</v>
      </c>
      <c r="BI4" s="40" t="s">
        <v>150</v>
      </c>
      <c r="BJ4" s="40" t="s">
        <v>148</v>
      </c>
      <c r="BK4" s="40" t="s">
        <v>149</v>
      </c>
      <c r="BL4" s="40" t="s">
        <v>150</v>
      </c>
      <c r="BM4" s="40" t="s">
        <v>148</v>
      </c>
      <c r="BN4" s="40" t="s">
        <v>149</v>
      </c>
      <c r="BO4" s="40" t="s">
        <v>150</v>
      </c>
      <c r="BP4" s="40" t="s">
        <v>148</v>
      </c>
      <c r="BQ4" s="40" t="s">
        <v>149</v>
      </c>
      <c r="BR4" s="40" t="s">
        <v>150</v>
      </c>
      <c r="BS4" s="40" t="s">
        <v>148</v>
      </c>
      <c r="BT4" s="40" t="s">
        <v>149</v>
      </c>
      <c r="BU4" s="40" t="s">
        <v>150</v>
      </c>
      <c r="BV4" s="40" t="s">
        <v>148</v>
      </c>
      <c r="BW4" s="40" t="s">
        <v>149</v>
      </c>
      <c r="BX4" s="40" t="s">
        <v>150</v>
      </c>
      <c r="BY4" s="40" t="s">
        <v>148</v>
      </c>
      <c r="BZ4" s="40" t="s">
        <v>149</v>
      </c>
      <c r="CA4" s="40" t="s">
        <v>150</v>
      </c>
      <c r="CB4" s="40" t="s">
        <v>148</v>
      </c>
      <c r="CC4" s="40" t="s">
        <v>149</v>
      </c>
      <c r="CD4" s="40" t="s">
        <v>150</v>
      </c>
      <c r="CE4" s="40" t="s">
        <v>148</v>
      </c>
      <c r="CF4" s="40" t="s">
        <v>149</v>
      </c>
      <c r="CG4" s="40" t="s">
        <v>150</v>
      </c>
      <c r="CH4" s="40" t="s">
        <v>148</v>
      </c>
      <c r="CI4" s="40" t="s">
        <v>149</v>
      </c>
      <c r="CJ4" s="40" t="s">
        <v>150</v>
      </c>
      <c r="CK4" s="40" t="s">
        <v>148</v>
      </c>
      <c r="CL4" s="40" t="s">
        <v>149</v>
      </c>
      <c r="CM4" s="40" t="s">
        <v>150</v>
      </c>
      <c r="CN4" s="40" t="s">
        <v>148</v>
      </c>
      <c r="CO4" s="40" t="s">
        <v>149</v>
      </c>
      <c r="CP4" s="40" t="s">
        <v>150</v>
      </c>
      <c r="CQ4" s="40" t="s">
        <v>148</v>
      </c>
      <c r="CR4" s="40" t="s">
        <v>149</v>
      </c>
      <c r="CS4" s="40" t="s">
        <v>150</v>
      </c>
      <c r="CT4" s="40" t="s">
        <v>148</v>
      </c>
      <c r="CU4" s="40" t="s">
        <v>149</v>
      </c>
      <c r="CV4" s="40" t="s">
        <v>150</v>
      </c>
    </row>
    <row r="5" spans="1:100" x14ac:dyDescent="0.25">
      <c r="A5" s="10" t="s">
        <v>151</v>
      </c>
      <c r="B5" s="10">
        <v>191</v>
      </c>
      <c r="C5" s="10">
        <f>D5-B5</f>
        <v>13556</v>
      </c>
      <c r="D5" s="10">
        <v>13747</v>
      </c>
      <c r="E5" s="10"/>
      <c r="F5" s="10">
        <f>G5-E5</f>
        <v>4167</v>
      </c>
      <c r="G5" s="99">
        <v>4167</v>
      </c>
      <c r="H5" s="10"/>
      <c r="I5" s="10">
        <f>J5-H5</f>
        <v>9280621</v>
      </c>
      <c r="J5" s="10">
        <v>9280621</v>
      </c>
      <c r="K5" s="10">
        <v>52008</v>
      </c>
      <c r="L5" s="10">
        <f>M5-K5</f>
        <v>242116</v>
      </c>
      <c r="M5" s="10">
        <v>294124</v>
      </c>
      <c r="N5" s="10">
        <v>11786</v>
      </c>
      <c r="O5" s="10">
        <f>P5-N5</f>
        <v>18452</v>
      </c>
      <c r="P5" s="10">
        <v>30238</v>
      </c>
      <c r="Q5" s="10">
        <v>29471</v>
      </c>
      <c r="R5" s="10">
        <f>S5-Q5</f>
        <v>33959</v>
      </c>
      <c r="S5" s="10">
        <v>63430</v>
      </c>
      <c r="T5" s="10"/>
      <c r="U5" s="10">
        <f>V5-T5</f>
        <v>873</v>
      </c>
      <c r="V5" s="10">
        <v>873</v>
      </c>
      <c r="W5" s="10">
        <v>126</v>
      </c>
      <c r="X5" s="10">
        <f>Y5-W5</f>
        <v>1224</v>
      </c>
      <c r="Y5" s="10">
        <v>1350</v>
      </c>
      <c r="Z5" s="10">
        <v>8522</v>
      </c>
      <c r="AA5" s="10">
        <f>AB5-Z5</f>
        <v>22825</v>
      </c>
      <c r="AB5" s="10">
        <v>31347</v>
      </c>
      <c r="AC5" s="10">
        <v>2460</v>
      </c>
      <c r="AD5" s="10">
        <f>AE5-AC5</f>
        <v>9093</v>
      </c>
      <c r="AE5" s="10">
        <v>11553</v>
      </c>
      <c r="AF5" s="10">
        <v>32442</v>
      </c>
      <c r="AG5" s="10">
        <f>AH5-AF5</f>
        <v>69416</v>
      </c>
      <c r="AH5" s="10">
        <v>101858</v>
      </c>
      <c r="AI5" s="10"/>
      <c r="AJ5" s="10">
        <f>AK5-AI5</f>
        <v>26509</v>
      </c>
      <c r="AK5" s="10">
        <v>26509</v>
      </c>
      <c r="AL5" s="10">
        <v>51085</v>
      </c>
      <c r="AM5" s="10">
        <f>AN5-AL5</f>
        <v>158472</v>
      </c>
      <c r="AN5" s="10">
        <v>209557</v>
      </c>
      <c r="AO5" s="10">
        <v>35192</v>
      </c>
      <c r="AP5" s="10">
        <f>AQ5-AO5</f>
        <v>52552</v>
      </c>
      <c r="AQ5" s="10">
        <v>87744</v>
      </c>
      <c r="AR5" s="10">
        <v>732</v>
      </c>
      <c r="AS5" s="10">
        <f>AT5-AR5</f>
        <v>3176</v>
      </c>
      <c r="AT5" s="10">
        <v>3908</v>
      </c>
      <c r="AU5" s="10">
        <v>5682</v>
      </c>
      <c r="AV5" s="10">
        <f>AW5-AU5</f>
        <v>10251</v>
      </c>
      <c r="AW5" s="10">
        <v>15933</v>
      </c>
      <c r="AX5" s="10">
        <v>6607</v>
      </c>
      <c r="AY5" s="10">
        <f>AZ5-AX5</f>
        <v>6155</v>
      </c>
      <c r="AZ5" s="10">
        <v>12762</v>
      </c>
      <c r="BA5" s="10"/>
      <c r="BB5" s="10">
        <f>BC5-BA5</f>
        <v>3732</v>
      </c>
      <c r="BC5" s="10">
        <v>3732</v>
      </c>
      <c r="BD5" s="10"/>
      <c r="BE5" s="10">
        <f>BF5-BD5</f>
        <v>2279</v>
      </c>
      <c r="BF5" s="10">
        <v>2279</v>
      </c>
      <c r="BG5" s="105">
        <v>122041</v>
      </c>
      <c r="BH5" s="10">
        <f>BI5-BG5</f>
        <v>555027</v>
      </c>
      <c r="BI5" s="106">
        <v>677068</v>
      </c>
      <c r="BJ5" s="10">
        <v>144</v>
      </c>
      <c r="BK5" s="10">
        <f>BL5-BJ5</f>
        <v>620</v>
      </c>
      <c r="BL5" s="10">
        <v>764</v>
      </c>
      <c r="BM5" s="10">
        <v>459</v>
      </c>
      <c r="BN5" s="10">
        <f>BO5-BM5</f>
        <v>311</v>
      </c>
      <c r="BO5" s="10">
        <v>770</v>
      </c>
      <c r="BP5" s="10">
        <v>58169</v>
      </c>
      <c r="BQ5" s="10">
        <f>BR5-BP5</f>
        <v>351590</v>
      </c>
      <c r="BR5" s="10">
        <v>409759</v>
      </c>
      <c r="BS5" s="10"/>
      <c r="BT5" s="10">
        <f>BU5-BS5</f>
        <v>10994</v>
      </c>
      <c r="BU5" s="10">
        <v>10994</v>
      </c>
      <c r="BV5" s="10">
        <v>20565</v>
      </c>
      <c r="BW5" s="10">
        <f>BX5-BV5</f>
        <v>23280</v>
      </c>
      <c r="BX5" s="10">
        <v>43845</v>
      </c>
      <c r="BY5" s="10">
        <v>8012</v>
      </c>
      <c r="BZ5" s="10">
        <f>CA5-BY5</f>
        <v>50580</v>
      </c>
      <c r="CA5" s="10">
        <v>58592</v>
      </c>
      <c r="CB5" s="10">
        <v>42360</v>
      </c>
      <c r="CC5" s="10">
        <f>CD5-CB5</f>
        <v>12792</v>
      </c>
      <c r="CD5" s="10">
        <v>55152</v>
      </c>
      <c r="CE5" s="10"/>
      <c r="CF5" s="10">
        <f>CG5-CE5</f>
        <v>66804</v>
      </c>
      <c r="CG5" s="10">
        <v>66804</v>
      </c>
      <c r="CH5" s="10">
        <v>22550</v>
      </c>
      <c r="CI5" s="10">
        <f>CJ5-CH5</f>
        <v>57323</v>
      </c>
      <c r="CJ5" s="10">
        <v>79873</v>
      </c>
      <c r="CK5" s="10">
        <v>154350</v>
      </c>
      <c r="CL5" s="10">
        <f>CM5-CK5</f>
        <v>298930</v>
      </c>
      <c r="CM5" s="10">
        <v>453280</v>
      </c>
      <c r="CN5" s="10">
        <v>93860</v>
      </c>
      <c r="CO5" s="10">
        <f>CP5-CN5</f>
        <v>359861</v>
      </c>
      <c r="CP5" s="10">
        <v>453721</v>
      </c>
      <c r="CQ5" s="108">
        <v>166058</v>
      </c>
      <c r="CR5" s="10">
        <f>CS5-CQ5</f>
        <v>504908</v>
      </c>
      <c r="CS5" s="30">
        <v>670966</v>
      </c>
      <c r="CT5" s="10">
        <v>8039</v>
      </c>
      <c r="CU5" s="10">
        <f>CV5-CT5</f>
        <v>9347</v>
      </c>
      <c r="CV5" s="10">
        <v>17386</v>
      </c>
    </row>
    <row r="6" spans="1:100" x14ac:dyDescent="0.25">
      <c r="A6" s="10" t="s">
        <v>152</v>
      </c>
      <c r="B6" s="10">
        <v>70</v>
      </c>
      <c r="C6" s="10">
        <f t="shared" ref="C6:C14" si="0">D6-B6</f>
        <v>49306</v>
      </c>
      <c r="D6" s="10">
        <v>49376</v>
      </c>
      <c r="E6" s="10"/>
      <c r="F6" s="10">
        <f t="shared" ref="F6:F14" si="1">G6-E6</f>
        <v>25176</v>
      </c>
      <c r="G6" s="10">
        <v>25176</v>
      </c>
      <c r="H6" s="10"/>
      <c r="I6" s="10">
        <f t="shared" ref="I6:I14" si="2">J6-H6</f>
        <v>316350</v>
      </c>
      <c r="J6" s="10">
        <v>316350</v>
      </c>
      <c r="K6" s="10">
        <v>2593</v>
      </c>
      <c r="L6" s="10">
        <f t="shared" ref="L6:L14" si="3">M6-K6</f>
        <v>747696</v>
      </c>
      <c r="M6" s="10">
        <v>750289</v>
      </c>
      <c r="N6" s="10">
        <v>698</v>
      </c>
      <c r="O6" s="10">
        <f t="shared" ref="O6:O14" si="4">P6-N6</f>
        <v>68629</v>
      </c>
      <c r="P6" s="10">
        <v>69327</v>
      </c>
      <c r="Q6" s="10">
        <v>1752</v>
      </c>
      <c r="R6" s="10">
        <f t="shared" ref="R6:R14" si="5">S6-Q6</f>
        <v>71481</v>
      </c>
      <c r="S6" s="10">
        <v>73233</v>
      </c>
      <c r="T6" s="10"/>
      <c r="U6" s="10">
        <f t="shared" ref="U6:U14" si="6">V6-T6</f>
        <v>525</v>
      </c>
      <c r="V6" s="10">
        <v>525</v>
      </c>
      <c r="W6" s="10">
        <v>25</v>
      </c>
      <c r="X6" s="10">
        <f t="shared" ref="X6:X14" si="7">Y6-W6</f>
        <v>7397</v>
      </c>
      <c r="Y6" s="10">
        <v>7422</v>
      </c>
      <c r="Z6" s="10">
        <v>513</v>
      </c>
      <c r="AA6" s="10">
        <f t="shared" ref="AA6:AA14" si="8">AB6-Z6</f>
        <v>61073</v>
      </c>
      <c r="AB6" s="10">
        <v>61586</v>
      </c>
      <c r="AC6" s="10">
        <v>740</v>
      </c>
      <c r="AD6" s="10">
        <f t="shared" ref="AD6:AD14" si="9">AE6-AC6</f>
        <v>47620</v>
      </c>
      <c r="AE6" s="10">
        <v>48360</v>
      </c>
      <c r="AF6" s="10">
        <v>1668</v>
      </c>
      <c r="AG6" s="10">
        <f t="shared" ref="AG6:AG14" si="10">AH6-AF6</f>
        <v>550348</v>
      </c>
      <c r="AH6" s="10">
        <v>552016</v>
      </c>
      <c r="AI6" s="10"/>
      <c r="AJ6" s="10">
        <f t="shared" ref="AJ6:AJ14" si="11">AK6-AI6</f>
        <v>149094</v>
      </c>
      <c r="AK6" s="10">
        <v>149094</v>
      </c>
      <c r="AL6" s="10">
        <v>3453</v>
      </c>
      <c r="AM6" s="10">
        <f t="shared" ref="AM6:AM14" si="12">AN6-AL6</f>
        <v>420037</v>
      </c>
      <c r="AN6" s="10">
        <v>423490</v>
      </c>
      <c r="AO6" s="10">
        <v>3183</v>
      </c>
      <c r="AP6" s="10">
        <f t="shared" ref="AP6:AP14" si="13">AQ6-AO6</f>
        <v>493902</v>
      </c>
      <c r="AQ6" s="10">
        <v>497085</v>
      </c>
      <c r="AR6" s="10">
        <v>76</v>
      </c>
      <c r="AS6" s="10">
        <f t="shared" ref="AS6:AS14" si="14">AT6-AR6</f>
        <v>14327</v>
      </c>
      <c r="AT6" s="10">
        <v>14403</v>
      </c>
      <c r="AU6" s="10">
        <v>767</v>
      </c>
      <c r="AV6" s="10">
        <f t="shared" ref="AV6:AV14" si="15">AW6-AU6</f>
        <v>51080</v>
      </c>
      <c r="AW6" s="10">
        <v>51847</v>
      </c>
      <c r="AX6" s="10">
        <v>840</v>
      </c>
      <c r="AY6" s="10">
        <f t="shared" ref="AY6:AY14" si="16">AZ6-AX6</f>
        <v>17196</v>
      </c>
      <c r="AZ6" s="10">
        <v>18036</v>
      </c>
      <c r="BA6" s="10"/>
      <c r="BB6" s="10">
        <f t="shared" ref="BB6:BB14" si="17">BC6-BA6</f>
        <v>65891</v>
      </c>
      <c r="BC6" s="10">
        <v>65891</v>
      </c>
      <c r="BD6" s="10"/>
      <c r="BE6" s="10">
        <f t="shared" ref="BE6:BE14" si="18">BF6-BD6</f>
        <v>32403</v>
      </c>
      <c r="BF6" s="10">
        <v>32403</v>
      </c>
      <c r="BG6" s="105">
        <v>7401</v>
      </c>
      <c r="BH6" s="10">
        <f t="shared" ref="BH6:BH14" si="19">BI6-BG6</f>
        <v>346296</v>
      </c>
      <c r="BI6" s="106">
        <v>353697</v>
      </c>
      <c r="BJ6" s="10">
        <v>40</v>
      </c>
      <c r="BK6" s="10">
        <f t="shared" ref="BK6:BK14" si="20">BL6-BJ6</f>
        <v>3268</v>
      </c>
      <c r="BL6" s="10">
        <v>3308</v>
      </c>
      <c r="BM6" s="10">
        <v>92</v>
      </c>
      <c r="BN6" s="10">
        <f t="shared" ref="BN6:BN14" si="21">BO6-BM6</f>
        <v>3109</v>
      </c>
      <c r="BO6" s="10">
        <v>3201</v>
      </c>
      <c r="BP6" s="10">
        <v>1869</v>
      </c>
      <c r="BQ6" s="10">
        <f t="shared" ref="BQ6:BQ14" si="22">BR6-BP6</f>
        <v>386660</v>
      </c>
      <c r="BR6" s="10">
        <v>388529</v>
      </c>
      <c r="BS6" s="10"/>
      <c r="BT6" s="10">
        <f t="shared" ref="BT6:BT14" si="23">BU6-BS6</f>
        <v>74288</v>
      </c>
      <c r="BU6" s="10">
        <v>74288</v>
      </c>
      <c r="BV6" s="10">
        <v>977</v>
      </c>
      <c r="BW6" s="10">
        <f t="shared" ref="BW6:BW14" si="24">BX6-BV6</f>
        <v>298279</v>
      </c>
      <c r="BX6" s="10">
        <v>299256</v>
      </c>
      <c r="BY6" s="10">
        <v>905</v>
      </c>
      <c r="BZ6" s="10">
        <f t="shared" ref="BZ6:BZ14" si="25">CA6-BY6</f>
        <v>225871</v>
      </c>
      <c r="CA6" s="10">
        <v>226776</v>
      </c>
      <c r="CB6" s="10">
        <v>2029</v>
      </c>
      <c r="CC6" s="10">
        <f t="shared" ref="CC6:CC14" si="26">CD6-CB6</f>
        <v>36456</v>
      </c>
      <c r="CD6" s="10">
        <v>38485</v>
      </c>
      <c r="CE6" s="10"/>
      <c r="CF6" s="10">
        <f t="shared" ref="CF6:CF14" si="27">CG6-CE6</f>
        <v>242111</v>
      </c>
      <c r="CG6" s="10">
        <v>242111</v>
      </c>
      <c r="CH6" s="10">
        <v>2166</v>
      </c>
      <c r="CI6" s="10">
        <f t="shared" ref="CI6:CI14" si="28">CJ6-CH6</f>
        <v>274127</v>
      </c>
      <c r="CJ6" s="10">
        <v>276293</v>
      </c>
      <c r="CK6" s="10">
        <v>14340</v>
      </c>
      <c r="CL6" s="10">
        <f t="shared" ref="CL6:CL14" si="29">CM6-CK6</f>
        <v>985897</v>
      </c>
      <c r="CM6" s="10">
        <v>1000237</v>
      </c>
      <c r="CN6" s="10">
        <v>11960</v>
      </c>
      <c r="CO6" s="10">
        <f t="shared" ref="CO6:CO14" si="30">CP6-CN6</f>
        <v>816044</v>
      </c>
      <c r="CP6" s="10">
        <v>828004</v>
      </c>
      <c r="CQ6" s="108">
        <v>11887</v>
      </c>
      <c r="CR6" s="10">
        <f t="shared" ref="CR6:CR14" si="31">CS6-CQ6</f>
        <v>2845818</v>
      </c>
      <c r="CS6" s="108">
        <v>2857705</v>
      </c>
      <c r="CT6" s="10">
        <v>973</v>
      </c>
      <c r="CU6" s="10">
        <f t="shared" ref="CU6:CU14" si="32">CV6-CT6</f>
        <v>80762</v>
      </c>
      <c r="CV6" s="10">
        <v>81735</v>
      </c>
    </row>
    <row r="7" spans="1:100" x14ac:dyDescent="0.25">
      <c r="A7" s="10" t="s">
        <v>153</v>
      </c>
      <c r="B7" s="10">
        <v>6</v>
      </c>
      <c r="C7" s="10">
        <f t="shared" si="0"/>
        <v>36927</v>
      </c>
      <c r="D7" s="10">
        <v>36933</v>
      </c>
      <c r="E7" s="10"/>
      <c r="F7" s="10">
        <f t="shared" si="1"/>
        <v>22693</v>
      </c>
      <c r="G7" s="10">
        <v>22693</v>
      </c>
      <c r="H7" s="10"/>
      <c r="I7" s="10">
        <f t="shared" si="2"/>
        <v>3335377</v>
      </c>
      <c r="J7" s="10">
        <v>3335377</v>
      </c>
      <c r="K7" s="10">
        <v>634</v>
      </c>
      <c r="L7" s="10">
        <f t="shared" si="3"/>
        <v>707896</v>
      </c>
      <c r="M7" s="10">
        <v>708530</v>
      </c>
      <c r="N7" s="10">
        <v>588</v>
      </c>
      <c r="O7" s="10">
        <f t="shared" si="4"/>
        <v>59693</v>
      </c>
      <c r="P7" s="10">
        <v>60281</v>
      </c>
      <c r="Q7" s="10">
        <v>1950</v>
      </c>
      <c r="R7" s="10">
        <f t="shared" si="5"/>
        <v>60851</v>
      </c>
      <c r="S7" s="10">
        <v>62801</v>
      </c>
      <c r="T7" s="10"/>
      <c r="U7" s="10">
        <f t="shared" si="6"/>
        <v>137</v>
      </c>
      <c r="V7" s="10">
        <v>137</v>
      </c>
      <c r="W7" s="10"/>
      <c r="X7" s="10">
        <f t="shared" si="7"/>
        <v>6225</v>
      </c>
      <c r="Y7" s="10">
        <v>6225</v>
      </c>
      <c r="Z7" s="10">
        <v>443</v>
      </c>
      <c r="AA7" s="10">
        <f t="shared" si="8"/>
        <v>56137</v>
      </c>
      <c r="AB7" s="10">
        <v>56580</v>
      </c>
      <c r="AC7" s="10">
        <v>347</v>
      </c>
      <c r="AD7" s="10">
        <f t="shared" si="9"/>
        <v>40151</v>
      </c>
      <c r="AE7" s="10">
        <v>40498</v>
      </c>
      <c r="AF7" s="10">
        <v>778</v>
      </c>
      <c r="AG7" s="10">
        <f t="shared" si="10"/>
        <v>531281</v>
      </c>
      <c r="AH7" s="10">
        <v>532059</v>
      </c>
      <c r="AI7" s="10"/>
      <c r="AJ7" s="10">
        <f t="shared" si="11"/>
        <v>119328</v>
      </c>
      <c r="AK7" s="10">
        <v>119328</v>
      </c>
      <c r="AL7" s="10">
        <v>3004</v>
      </c>
      <c r="AM7" s="10">
        <f t="shared" si="12"/>
        <v>360150</v>
      </c>
      <c r="AN7" s="10">
        <v>363154</v>
      </c>
      <c r="AO7" s="10">
        <v>3184</v>
      </c>
      <c r="AP7" s="10">
        <f t="shared" si="13"/>
        <v>480590</v>
      </c>
      <c r="AQ7" s="10">
        <v>483774</v>
      </c>
      <c r="AR7" s="10">
        <v>24</v>
      </c>
      <c r="AS7" s="10">
        <f t="shared" si="14"/>
        <v>10845</v>
      </c>
      <c r="AT7" s="10">
        <v>10869</v>
      </c>
      <c r="AU7" s="10">
        <v>193</v>
      </c>
      <c r="AV7" s="10">
        <f t="shared" si="15"/>
        <v>45896</v>
      </c>
      <c r="AW7" s="10">
        <v>46089</v>
      </c>
      <c r="AX7" s="10">
        <v>323</v>
      </c>
      <c r="AY7" s="10">
        <f t="shared" si="16"/>
        <v>14541</v>
      </c>
      <c r="AZ7" s="10">
        <v>14864</v>
      </c>
      <c r="BA7" s="10"/>
      <c r="BB7" s="10">
        <f t="shared" si="17"/>
        <v>58204</v>
      </c>
      <c r="BC7" s="10">
        <v>58204</v>
      </c>
      <c r="BD7" s="10"/>
      <c r="BE7" s="10">
        <f t="shared" si="18"/>
        <v>27144</v>
      </c>
      <c r="BF7" s="10">
        <v>27144</v>
      </c>
      <c r="BG7" s="105">
        <v>16246</v>
      </c>
      <c r="BH7" s="10">
        <f t="shared" si="19"/>
        <v>300541</v>
      </c>
      <c r="BI7" s="106">
        <v>316787</v>
      </c>
      <c r="BJ7" s="10">
        <v>3</v>
      </c>
      <c r="BK7" s="10">
        <f t="shared" si="20"/>
        <v>2998</v>
      </c>
      <c r="BL7" s="10">
        <v>3001</v>
      </c>
      <c r="BM7" s="10">
        <v>26</v>
      </c>
      <c r="BN7" s="10">
        <f t="shared" si="21"/>
        <v>2211</v>
      </c>
      <c r="BO7" s="10">
        <v>2237</v>
      </c>
      <c r="BP7" s="10">
        <v>1622</v>
      </c>
      <c r="BQ7" s="10">
        <f t="shared" si="22"/>
        <v>457794</v>
      </c>
      <c r="BR7" s="10">
        <v>459416</v>
      </c>
      <c r="BS7" s="10"/>
      <c r="BT7" s="10">
        <f t="shared" si="23"/>
        <v>61431</v>
      </c>
      <c r="BU7" s="10">
        <v>61431</v>
      </c>
      <c r="BV7" s="10">
        <v>581</v>
      </c>
      <c r="BW7" s="10">
        <f t="shared" si="24"/>
        <v>290839</v>
      </c>
      <c r="BX7" s="10">
        <v>291420</v>
      </c>
      <c r="BY7" s="10">
        <v>300</v>
      </c>
      <c r="BZ7" s="10">
        <f t="shared" si="25"/>
        <v>214970</v>
      </c>
      <c r="CA7" s="10">
        <v>215270</v>
      </c>
      <c r="CB7" s="10">
        <v>1349</v>
      </c>
      <c r="CC7" s="10">
        <f t="shared" si="26"/>
        <v>31864</v>
      </c>
      <c r="CD7" s="10">
        <v>33213</v>
      </c>
      <c r="CE7" s="10"/>
      <c r="CF7" s="10">
        <f t="shared" si="27"/>
        <v>169732</v>
      </c>
      <c r="CG7" s="10">
        <v>169732</v>
      </c>
      <c r="CH7" s="10">
        <v>721</v>
      </c>
      <c r="CI7" s="10">
        <f t="shared" si="28"/>
        <v>241272</v>
      </c>
      <c r="CJ7" s="10">
        <v>241993</v>
      </c>
      <c r="CK7" s="10">
        <v>9816</v>
      </c>
      <c r="CL7" s="10">
        <f t="shared" si="29"/>
        <v>1037619</v>
      </c>
      <c r="CM7" s="10">
        <v>1047435</v>
      </c>
      <c r="CN7" s="10">
        <v>14155</v>
      </c>
      <c r="CO7" s="10">
        <f t="shared" si="30"/>
        <v>781080</v>
      </c>
      <c r="CP7" s="10">
        <v>795235</v>
      </c>
      <c r="CQ7" s="108">
        <v>6798</v>
      </c>
      <c r="CR7" s="10">
        <f t="shared" si="31"/>
        <v>2620142</v>
      </c>
      <c r="CS7" s="108">
        <v>2626940</v>
      </c>
      <c r="CT7" s="10">
        <v>340</v>
      </c>
      <c r="CU7" s="10">
        <f t="shared" si="32"/>
        <v>63613</v>
      </c>
      <c r="CV7" s="10">
        <v>63953</v>
      </c>
    </row>
    <row r="8" spans="1:100" x14ac:dyDescent="0.25">
      <c r="A8" s="10" t="s">
        <v>154</v>
      </c>
      <c r="B8" s="10"/>
      <c r="C8" s="10">
        <f t="shared" si="0"/>
        <v>1475</v>
      </c>
      <c r="D8" s="10">
        <v>1475</v>
      </c>
      <c r="E8" s="10"/>
      <c r="F8" s="10">
        <f t="shared" si="1"/>
        <v>2000</v>
      </c>
      <c r="G8" s="10">
        <v>2000</v>
      </c>
      <c r="H8" s="10"/>
      <c r="I8" s="10">
        <f t="shared" si="2"/>
        <v>0</v>
      </c>
      <c r="J8" s="10">
        <v>0</v>
      </c>
      <c r="K8" s="10">
        <v>375</v>
      </c>
      <c r="L8" s="10">
        <f t="shared" si="3"/>
        <v>13014</v>
      </c>
      <c r="M8" s="10">
        <v>13389</v>
      </c>
      <c r="N8" s="10">
        <v>0</v>
      </c>
      <c r="O8" s="10">
        <f t="shared" si="4"/>
        <v>1806</v>
      </c>
      <c r="P8" s="10">
        <v>1806</v>
      </c>
      <c r="Q8" s="10"/>
      <c r="R8" s="10">
        <f t="shared" si="5"/>
        <v>3838</v>
      </c>
      <c r="S8" s="10">
        <v>3838</v>
      </c>
      <c r="U8" s="10">
        <f t="shared" si="6"/>
        <v>235</v>
      </c>
      <c r="V8" s="10">
        <v>235</v>
      </c>
      <c r="W8" s="10"/>
      <c r="X8" s="10">
        <f t="shared" si="7"/>
        <v>202</v>
      </c>
      <c r="Y8" s="10">
        <v>202</v>
      </c>
      <c r="Z8" s="10">
        <v>32</v>
      </c>
      <c r="AA8" s="10">
        <f t="shared" si="8"/>
        <v>4180</v>
      </c>
      <c r="AB8" s="10">
        <v>4212</v>
      </c>
      <c r="AC8" s="10">
        <v>13</v>
      </c>
      <c r="AD8" s="10">
        <f t="shared" si="9"/>
        <v>2049</v>
      </c>
      <c r="AE8" s="10">
        <v>2062</v>
      </c>
      <c r="AF8" s="10">
        <v>181</v>
      </c>
      <c r="AG8" s="10">
        <f t="shared" si="10"/>
        <v>2980</v>
      </c>
      <c r="AH8" s="10">
        <v>3161</v>
      </c>
      <c r="AI8" s="10"/>
      <c r="AJ8" s="10">
        <f t="shared" si="11"/>
        <v>15847</v>
      </c>
      <c r="AK8" s="10">
        <v>15847</v>
      </c>
      <c r="AL8" s="10">
        <v>399</v>
      </c>
      <c r="AM8" s="10">
        <f t="shared" si="12"/>
        <v>24867</v>
      </c>
      <c r="AN8" s="10">
        <v>25266</v>
      </c>
      <c r="AO8" s="10">
        <v>4</v>
      </c>
      <c r="AP8" s="10">
        <f t="shared" si="13"/>
        <v>22530</v>
      </c>
      <c r="AQ8" s="10">
        <v>22534</v>
      </c>
      <c r="AR8" s="10">
        <v>3</v>
      </c>
      <c r="AS8" s="10">
        <f t="shared" si="14"/>
        <v>1145</v>
      </c>
      <c r="AT8" s="10">
        <v>1148</v>
      </c>
      <c r="AU8" s="10">
        <v>1</v>
      </c>
      <c r="AV8" s="10">
        <f t="shared" si="15"/>
        <v>3605</v>
      </c>
      <c r="AW8" s="10">
        <v>3606</v>
      </c>
      <c r="AX8" s="10"/>
      <c r="AY8" s="10">
        <f t="shared" si="16"/>
        <v>690</v>
      </c>
      <c r="AZ8" s="10">
        <v>690</v>
      </c>
      <c r="BA8" s="10"/>
      <c r="BB8" s="10">
        <f t="shared" si="17"/>
        <v>6553</v>
      </c>
      <c r="BC8" s="10">
        <v>6553</v>
      </c>
      <c r="BD8" s="10"/>
      <c r="BE8" s="10">
        <f t="shared" si="18"/>
        <v>2752</v>
      </c>
      <c r="BF8" s="10">
        <v>2752</v>
      </c>
      <c r="BG8" s="105">
        <v>2785</v>
      </c>
      <c r="BH8" s="10">
        <f t="shared" si="19"/>
        <v>33679</v>
      </c>
      <c r="BI8" s="106">
        <v>36464</v>
      </c>
      <c r="BJ8" s="10"/>
      <c r="BK8" s="10">
        <f t="shared" si="20"/>
        <v>17</v>
      </c>
      <c r="BL8" s="10">
        <v>17</v>
      </c>
      <c r="BM8" s="10">
        <v>1</v>
      </c>
      <c r="BN8" s="10">
        <f t="shared" si="21"/>
        <v>239</v>
      </c>
      <c r="BO8" s="10">
        <v>240</v>
      </c>
      <c r="BP8" s="10">
        <v>31</v>
      </c>
      <c r="BQ8" s="10">
        <f t="shared" si="22"/>
        <v>15422</v>
      </c>
      <c r="BR8" s="10">
        <v>15453</v>
      </c>
      <c r="BS8" s="10"/>
      <c r="BT8" s="10">
        <f t="shared" si="23"/>
        <v>9081</v>
      </c>
      <c r="BU8" s="10">
        <v>9081</v>
      </c>
      <c r="BV8" s="10"/>
      <c r="BW8" s="10">
        <f t="shared" si="24"/>
        <v>2461</v>
      </c>
      <c r="BX8" s="10">
        <v>2461</v>
      </c>
      <c r="BY8" s="10">
        <v>1</v>
      </c>
      <c r="BZ8" s="10">
        <f t="shared" si="25"/>
        <v>2423</v>
      </c>
      <c r="CA8" s="10">
        <v>2424</v>
      </c>
      <c r="CB8" s="10">
        <v>253</v>
      </c>
      <c r="CC8" s="10">
        <f t="shared" si="26"/>
        <v>1334</v>
      </c>
      <c r="CD8" s="10">
        <v>1587</v>
      </c>
      <c r="CE8" s="10"/>
      <c r="CF8" s="10">
        <f t="shared" si="27"/>
        <v>43641</v>
      </c>
      <c r="CG8" s="10">
        <v>43641</v>
      </c>
      <c r="CH8" s="10"/>
      <c r="CI8" s="10">
        <f t="shared" si="28"/>
        <v>3148</v>
      </c>
      <c r="CJ8" s="10">
        <v>3148</v>
      </c>
      <c r="CK8" s="10">
        <v>238</v>
      </c>
      <c r="CL8" s="10">
        <f t="shared" si="29"/>
        <v>5762</v>
      </c>
      <c r="CM8" s="10">
        <v>6000</v>
      </c>
      <c r="CN8" s="10">
        <v>10</v>
      </c>
      <c r="CO8" s="10">
        <f t="shared" si="30"/>
        <v>740</v>
      </c>
      <c r="CP8" s="10">
        <v>750</v>
      </c>
      <c r="CQ8" s="108">
        <v>3018</v>
      </c>
      <c r="CR8" s="10">
        <f t="shared" si="31"/>
        <v>73744</v>
      </c>
      <c r="CS8" s="108">
        <v>76762</v>
      </c>
      <c r="CT8" s="10"/>
      <c r="CU8" s="10">
        <f t="shared" si="32"/>
        <v>1823</v>
      </c>
      <c r="CV8" s="10">
        <v>1823</v>
      </c>
    </row>
    <row r="9" spans="1:100" x14ac:dyDescent="0.25">
      <c r="A9" s="10" t="s">
        <v>155</v>
      </c>
      <c r="B9" s="10"/>
      <c r="C9" s="10">
        <f t="shared" si="0"/>
        <v>8994</v>
      </c>
      <c r="D9" s="10">
        <v>8994</v>
      </c>
      <c r="E9" s="10"/>
      <c r="F9" s="10">
        <f t="shared" si="1"/>
        <v>0</v>
      </c>
      <c r="G9" s="10"/>
      <c r="H9" s="10"/>
      <c r="I9" s="10">
        <f t="shared" si="2"/>
        <v>125316</v>
      </c>
      <c r="J9" s="10">
        <v>125316</v>
      </c>
      <c r="K9" s="10">
        <v>1523</v>
      </c>
      <c r="L9" s="10">
        <f t="shared" si="3"/>
        <v>55044</v>
      </c>
      <c r="M9" s="10">
        <v>56567</v>
      </c>
      <c r="N9" s="10">
        <v>505</v>
      </c>
      <c r="O9" s="10">
        <f t="shared" si="4"/>
        <v>6011</v>
      </c>
      <c r="P9" s="10">
        <v>6516</v>
      </c>
      <c r="Q9" s="10">
        <v>257</v>
      </c>
      <c r="R9" s="10">
        <f t="shared" si="5"/>
        <v>3337</v>
      </c>
      <c r="S9" s="10">
        <v>3594</v>
      </c>
      <c r="T9" s="10"/>
      <c r="U9" s="10">
        <f t="shared" si="6"/>
        <v>0</v>
      </c>
      <c r="V9" s="10">
        <v>0</v>
      </c>
      <c r="W9" s="10">
        <v>4</v>
      </c>
      <c r="X9" s="10">
        <f t="shared" si="7"/>
        <v>272</v>
      </c>
      <c r="Y9" s="10">
        <v>276</v>
      </c>
      <c r="Z9" s="10">
        <v>9</v>
      </c>
      <c r="AA9" s="10">
        <f t="shared" si="8"/>
        <v>3670</v>
      </c>
      <c r="AB9" s="10">
        <v>3679</v>
      </c>
      <c r="AC9" s="10">
        <v>41</v>
      </c>
      <c r="AD9" s="10">
        <f t="shared" si="9"/>
        <v>4634</v>
      </c>
      <c r="AE9" s="10">
        <v>4675</v>
      </c>
      <c r="AF9" s="10">
        <v>80</v>
      </c>
      <c r="AG9" s="10">
        <f t="shared" si="10"/>
        <v>14592</v>
      </c>
      <c r="AH9" s="10">
        <v>14672</v>
      </c>
      <c r="AI9" s="10"/>
      <c r="AJ9" s="10">
        <f t="shared" si="11"/>
        <v>0</v>
      </c>
      <c r="AK9" s="10"/>
      <c r="AL9" s="10">
        <v>543</v>
      </c>
      <c r="AM9" s="10">
        <f t="shared" si="12"/>
        <v>30543</v>
      </c>
      <c r="AN9" s="10">
        <v>31086</v>
      </c>
      <c r="AO9" s="10">
        <v>274</v>
      </c>
      <c r="AP9" s="10">
        <f t="shared" si="13"/>
        <v>15799</v>
      </c>
      <c r="AQ9" s="10">
        <v>16073</v>
      </c>
      <c r="AR9" s="10"/>
      <c r="AS9" s="10">
        <f t="shared" si="14"/>
        <v>783</v>
      </c>
      <c r="AT9" s="10">
        <v>783</v>
      </c>
      <c r="AU9" s="10">
        <v>169</v>
      </c>
      <c r="AV9" s="10">
        <f t="shared" si="15"/>
        <v>2931</v>
      </c>
      <c r="AW9" s="10">
        <v>3100</v>
      </c>
      <c r="AX9" s="10">
        <v>115</v>
      </c>
      <c r="AY9" s="10">
        <f t="shared" si="16"/>
        <v>1805</v>
      </c>
      <c r="AZ9" s="10">
        <v>1920</v>
      </c>
      <c r="BA9" s="10"/>
      <c r="BB9" s="10">
        <f t="shared" si="17"/>
        <v>0</v>
      </c>
      <c r="BC9" s="10"/>
      <c r="BD9" s="10"/>
      <c r="BE9" s="10">
        <f t="shared" si="18"/>
        <v>0</v>
      </c>
      <c r="BF9" s="10"/>
      <c r="BG9" s="10"/>
      <c r="BH9" s="10">
        <f t="shared" si="19"/>
        <v>0</v>
      </c>
      <c r="BI9" s="10"/>
      <c r="BJ9" s="10">
        <v>8</v>
      </c>
      <c r="BK9" s="10">
        <f t="shared" si="20"/>
        <v>305</v>
      </c>
      <c r="BL9" s="10">
        <v>313</v>
      </c>
      <c r="BM9" s="10">
        <v>2</v>
      </c>
      <c r="BN9" s="10">
        <f t="shared" si="21"/>
        <v>43</v>
      </c>
      <c r="BO9" s="10">
        <v>45</v>
      </c>
      <c r="BP9" s="10">
        <v>350</v>
      </c>
      <c r="BQ9" s="10">
        <f t="shared" si="22"/>
        <v>11609</v>
      </c>
      <c r="BR9" s="10">
        <v>11959</v>
      </c>
      <c r="BS9" s="10"/>
      <c r="BT9" s="10">
        <f t="shared" si="23"/>
        <v>0</v>
      </c>
      <c r="BU9" s="10"/>
      <c r="BV9" s="10">
        <v>200</v>
      </c>
      <c r="BW9" s="10">
        <f t="shared" si="24"/>
        <v>3622</v>
      </c>
      <c r="BX9" s="10">
        <v>3822</v>
      </c>
      <c r="BY9" s="10">
        <v>717</v>
      </c>
      <c r="BZ9" s="10">
        <f t="shared" si="25"/>
        <v>22409</v>
      </c>
      <c r="CA9" s="10">
        <v>23126</v>
      </c>
      <c r="CB9" s="10">
        <v>127</v>
      </c>
      <c r="CC9" s="10">
        <f t="shared" si="26"/>
        <v>4288</v>
      </c>
      <c r="CD9" s="10">
        <v>4415</v>
      </c>
      <c r="CE9" s="10"/>
      <c r="CF9" s="10">
        <f t="shared" si="27"/>
        <v>0</v>
      </c>
      <c r="CG9" s="10"/>
      <c r="CH9" s="10">
        <v>750</v>
      </c>
      <c r="CI9" s="10">
        <f t="shared" si="28"/>
        <v>23830</v>
      </c>
      <c r="CJ9" s="10">
        <v>24580</v>
      </c>
      <c r="CK9" s="10"/>
      <c r="CL9" s="10">
        <f t="shared" si="29"/>
        <v>0</v>
      </c>
      <c r="CM9" s="10"/>
      <c r="CN9" s="10"/>
      <c r="CO9" s="10">
        <f t="shared" si="30"/>
        <v>0</v>
      </c>
      <c r="CP9" s="10"/>
      <c r="CQ9" s="108">
        <v>449</v>
      </c>
      <c r="CR9" s="10">
        <f t="shared" si="31"/>
        <v>914</v>
      </c>
      <c r="CS9" s="108">
        <v>1363</v>
      </c>
      <c r="CT9" s="10">
        <v>144</v>
      </c>
      <c r="CU9" s="10">
        <f t="shared" si="32"/>
        <v>4795</v>
      </c>
      <c r="CV9" s="10">
        <v>4939</v>
      </c>
    </row>
    <row r="10" spans="1:100" x14ac:dyDescent="0.25">
      <c r="A10" s="10" t="s">
        <v>156</v>
      </c>
      <c r="B10" s="10">
        <v>255</v>
      </c>
      <c r="C10" s="10">
        <f t="shared" si="0"/>
        <v>15466</v>
      </c>
      <c r="D10" s="10">
        <v>15721</v>
      </c>
      <c r="E10" s="10"/>
      <c r="F10" s="10">
        <f t="shared" si="1"/>
        <v>4650</v>
      </c>
      <c r="G10" s="10">
        <v>4650</v>
      </c>
      <c r="H10" s="10"/>
      <c r="I10" s="10">
        <f t="shared" si="2"/>
        <v>6136278</v>
      </c>
      <c r="J10" s="10">
        <v>6136278</v>
      </c>
      <c r="K10" s="10">
        <v>52069</v>
      </c>
      <c r="L10" s="10">
        <f t="shared" si="3"/>
        <v>213859</v>
      </c>
      <c r="M10" s="10">
        <v>265928</v>
      </c>
      <c r="N10" s="10">
        <v>11391</v>
      </c>
      <c r="O10" s="10">
        <f t="shared" si="4"/>
        <v>19571</v>
      </c>
      <c r="P10" s="10">
        <v>30962</v>
      </c>
      <c r="Q10" s="10">
        <v>29016</v>
      </c>
      <c r="R10" s="10">
        <f t="shared" si="5"/>
        <v>37414</v>
      </c>
      <c r="S10" s="10">
        <v>66430</v>
      </c>
      <c r="T10" s="10"/>
      <c r="U10" s="10">
        <f t="shared" si="6"/>
        <v>1026</v>
      </c>
      <c r="V10" s="10">
        <v>1026</v>
      </c>
      <c r="W10" s="10">
        <v>147</v>
      </c>
      <c r="X10" s="10">
        <f t="shared" si="7"/>
        <v>1922</v>
      </c>
      <c r="Y10" s="10">
        <v>2069</v>
      </c>
      <c r="Z10" s="10">
        <v>8551</v>
      </c>
      <c r="AA10" s="10">
        <f t="shared" si="8"/>
        <v>19911</v>
      </c>
      <c r="AB10" s="10">
        <v>28462</v>
      </c>
      <c r="AC10" s="10">
        <v>2799</v>
      </c>
      <c r="AD10" s="10">
        <f t="shared" si="9"/>
        <v>9879</v>
      </c>
      <c r="AE10" s="10">
        <v>12678</v>
      </c>
      <c r="AF10" s="10">
        <v>33071</v>
      </c>
      <c r="AG10" s="10">
        <f t="shared" si="10"/>
        <v>70911</v>
      </c>
      <c r="AH10" s="10">
        <v>103982</v>
      </c>
      <c r="AI10" s="10"/>
      <c r="AJ10" s="10">
        <f t="shared" si="11"/>
        <v>40428</v>
      </c>
      <c r="AK10" s="10">
        <v>40428</v>
      </c>
      <c r="AL10" s="10">
        <v>50592</v>
      </c>
      <c r="AM10" s="10">
        <f t="shared" si="12"/>
        <v>162949</v>
      </c>
      <c r="AN10" s="10">
        <v>213541</v>
      </c>
      <c r="AO10" s="10">
        <v>36166</v>
      </c>
      <c r="AP10" s="10">
        <f t="shared" si="13"/>
        <v>77927</v>
      </c>
      <c r="AQ10" s="10">
        <v>114093</v>
      </c>
      <c r="AR10" s="10">
        <v>781</v>
      </c>
      <c r="AS10" s="10">
        <f t="shared" si="14"/>
        <v>4730</v>
      </c>
      <c r="AT10" s="10">
        <v>5511</v>
      </c>
      <c r="AU10" s="10">
        <v>6086</v>
      </c>
      <c r="AV10" s="10">
        <f t="shared" si="15"/>
        <v>8899</v>
      </c>
      <c r="AW10" s="10">
        <v>14985</v>
      </c>
      <c r="AX10" s="10">
        <v>7009</v>
      </c>
      <c r="AY10" s="10">
        <f t="shared" si="16"/>
        <v>6315</v>
      </c>
      <c r="AZ10" s="10">
        <v>13324</v>
      </c>
      <c r="BA10" s="10"/>
      <c r="BB10" s="10">
        <f t="shared" si="17"/>
        <v>4866</v>
      </c>
      <c r="BC10" s="10">
        <v>4866</v>
      </c>
      <c r="BD10" s="10"/>
      <c r="BE10" s="10">
        <f t="shared" si="18"/>
        <v>4786</v>
      </c>
      <c r="BF10" s="10">
        <v>4786</v>
      </c>
      <c r="BG10" s="108">
        <v>110411</v>
      </c>
      <c r="BH10" s="10">
        <f t="shared" si="19"/>
        <v>567103</v>
      </c>
      <c r="BI10" s="107">
        <v>677514</v>
      </c>
      <c r="BJ10" s="10">
        <v>173</v>
      </c>
      <c r="BK10" s="10">
        <f t="shared" si="20"/>
        <v>568</v>
      </c>
      <c r="BL10" s="10">
        <v>741</v>
      </c>
      <c r="BM10" s="10">
        <v>547</v>
      </c>
      <c r="BN10" s="10">
        <f t="shared" si="21"/>
        <v>942</v>
      </c>
      <c r="BO10" s="10">
        <v>1489</v>
      </c>
      <c r="BP10" s="10">
        <v>58035</v>
      </c>
      <c r="BQ10" s="10">
        <f t="shared" si="22"/>
        <v>253425</v>
      </c>
      <c r="BR10" s="10">
        <v>311460</v>
      </c>
      <c r="BS10" s="10"/>
      <c r="BT10" s="10">
        <f t="shared" si="23"/>
        <v>14770</v>
      </c>
      <c r="BU10" s="10">
        <v>14770</v>
      </c>
      <c r="BV10" s="10">
        <v>20746</v>
      </c>
      <c r="BW10" s="10">
        <f t="shared" si="24"/>
        <v>25104</v>
      </c>
      <c r="BX10" s="10">
        <v>45850</v>
      </c>
      <c r="BY10" s="10">
        <v>7899</v>
      </c>
      <c r="BZ10" s="10">
        <f t="shared" si="25"/>
        <v>36649</v>
      </c>
      <c r="CA10" s="10">
        <v>44548</v>
      </c>
      <c r="CB10" s="10">
        <v>42660</v>
      </c>
      <c r="CC10" s="10">
        <f t="shared" si="26"/>
        <v>11762</v>
      </c>
      <c r="CD10" s="10">
        <v>54422</v>
      </c>
      <c r="CE10" s="10"/>
      <c r="CF10" s="10">
        <f t="shared" si="27"/>
        <v>95542</v>
      </c>
      <c r="CG10" s="10">
        <v>95542</v>
      </c>
      <c r="CH10" s="10">
        <v>23245</v>
      </c>
      <c r="CI10" s="10">
        <f t="shared" si="28"/>
        <v>63200</v>
      </c>
      <c r="CJ10" s="10">
        <v>86445</v>
      </c>
      <c r="CK10" s="10">
        <v>158636</v>
      </c>
      <c r="CL10" s="10">
        <f t="shared" si="29"/>
        <v>241446</v>
      </c>
      <c r="CM10" s="10">
        <v>400082</v>
      </c>
      <c r="CN10" s="10">
        <v>92549</v>
      </c>
      <c r="CO10" s="10">
        <f t="shared" si="30"/>
        <v>417309</v>
      </c>
      <c r="CP10" s="10">
        <v>509858</v>
      </c>
      <c r="CQ10" s="108">
        <v>167680</v>
      </c>
      <c r="CR10" s="10">
        <f t="shared" si="31"/>
        <v>655926</v>
      </c>
      <c r="CS10" s="108">
        <v>823606</v>
      </c>
      <c r="CT10" s="10">
        <v>8528</v>
      </c>
      <c r="CU10" s="10">
        <f t="shared" si="32"/>
        <v>19878</v>
      </c>
      <c r="CV10" s="10">
        <v>28406</v>
      </c>
    </row>
    <row r="11" spans="1:100" x14ac:dyDescent="0.25">
      <c r="A11" s="10" t="s">
        <v>157</v>
      </c>
      <c r="B11" s="10">
        <v>70</v>
      </c>
      <c r="C11" s="10">
        <f t="shared" si="0"/>
        <v>10402</v>
      </c>
      <c r="D11" s="10">
        <v>10472</v>
      </c>
      <c r="E11" s="10"/>
      <c r="F11" s="10">
        <f t="shared" si="1"/>
        <v>4520</v>
      </c>
      <c r="G11" s="10">
        <v>4520</v>
      </c>
      <c r="H11" s="10"/>
      <c r="I11" s="10">
        <f t="shared" si="2"/>
        <v>2434482</v>
      </c>
      <c r="J11" s="10">
        <v>2434482</v>
      </c>
      <c r="K11" s="10">
        <v>2673</v>
      </c>
      <c r="L11" s="10">
        <f t="shared" si="3"/>
        <v>89601</v>
      </c>
      <c r="M11" s="10">
        <v>92274</v>
      </c>
      <c r="N11" s="10">
        <v>614</v>
      </c>
      <c r="O11" s="10">
        <f t="shared" si="4"/>
        <v>14839</v>
      </c>
      <c r="P11" s="10">
        <v>15453</v>
      </c>
      <c r="Q11" s="10">
        <v>1596</v>
      </c>
      <c r="R11" s="10">
        <f t="shared" si="5"/>
        <v>19288</v>
      </c>
      <c r="S11" s="10">
        <v>20884</v>
      </c>
      <c r="T11" s="10"/>
      <c r="U11" s="10">
        <f t="shared" si="6"/>
        <v>543</v>
      </c>
      <c r="V11" s="10">
        <v>543</v>
      </c>
      <c r="W11" s="10">
        <v>22</v>
      </c>
      <c r="X11" s="10">
        <f t="shared" si="7"/>
        <v>1850</v>
      </c>
      <c r="Y11" s="10">
        <v>1872</v>
      </c>
      <c r="Z11" s="10">
        <v>383</v>
      </c>
      <c r="AA11" s="10">
        <f t="shared" si="8"/>
        <v>14597</v>
      </c>
      <c r="AB11" s="10">
        <v>14980</v>
      </c>
      <c r="AC11" s="10">
        <v>606</v>
      </c>
      <c r="AD11" s="10">
        <f t="shared" si="9"/>
        <v>8326</v>
      </c>
      <c r="AE11" s="10">
        <v>8932</v>
      </c>
      <c r="AF11" s="10">
        <v>1586</v>
      </c>
      <c r="AG11" s="10">
        <f t="shared" si="10"/>
        <v>60460</v>
      </c>
      <c r="AH11" s="10">
        <v>62046</v>
      </c>
      <c r="AI11" s="10"/>
      <c r="AJ11" s="10">
        <f t="shared" si="11"/>
        <v>38513</v>
      </c>
      <c r="AK11" s="10">
        <v>38513</v>
      </c>
      <c r="AL11" s="10">
        <v>2677</v>
      </c>
      <c r="AM11" s="10">
        <f t="shared" si="12"/>
        <v>137636</v>
      </c>
      <c r="AN11" s="10">
        <v>140313</v>
      </c>
      <c r="AO11" s="10">
        <v>80</v>
      </c>
      <c r="AP11" s="10">
        <f t="shared" si="13"/>
        <v>58435</v>
      </c>
      <c r="AQ11" s="10">
        <v>58515</v>
      </c>
      <c r="AR11" s="10">
        <v>76</v>
      </c>
      <c r="AS11" s="10">
        <f t="shared" si="14"/>
        <v>3801</v>
      </c>
      <c r="AT11" s="10">
        <v>3877</v>
      </c>
      <c r="AU11" s="10">
        <v>725</v>
      </c>
      <c r="AV11" s="10">
        <f t="shared" si="15"/>
        <v>6400</v>
      </c>
      <c r="AW11" s="10">
        <v>7125</v>
      </c>
      <c r="AX11" s="10">
        <v>789</v>
      </c>
      <c r="AY11" s="10">
        <f t="shared" si="16"/>
        <v>4816</v>
      </c>
      <c r="AZ11" s="10">
        <v>5605</v>
      </c>
      <c r="BA11" s="10"/>
      <c r="BB11" s="10">
        <f t="shared" si="17"/>
        <v>4813</v>
      </c>
      <c r="BC11" s="10">
        <v>4813</v>
      </c>
      <c r="BD11" s="10"/>
      <c r="BE11" s="10">
        <f t="shared" si="18"/>
        <v>4756</v>
      </c>
      <c r="BF11" s="10">
        <v>4756</v>
      </c>
      <c r="BG11" s="10">
        <v>4086</v>
      </c>
      <c r="BH11" s="10">
        <f t="shared" si="19"/>
        <v>201489</v>
      </c>
      <c r="BI11" s="10">
        <v>205575</v>
      </c>
      <c r="BJ11" s="10">
        <v>37</v>
      </c>
      <c r="BK11" s="10">
        <f t="shared" si="20"/>
        <v>493</v>
      </c>
      <c r="BL11" s="10">
        <v>530</v>
      </c>
      <c r="BM11" s="10">
        <v>26</v>
      </c>
      <c r="BN11" s="10">
        <f t="shared" si="21"/>
        <v>790</v>
      </c>
      <c r="BO11" s="10">
        <v>816</v>
      </c>
      <c r="BP11" s="10">
        <v>1428</v>
      </c>
      <c r="BQ11" s="10">
        <f t="shared" si="22"/>
        <v>234437</v>
      </c>
      <c r="BR11" s="10">
        <v>235865</v>
      </c>
      <c r="BS11" s="10"/>
      <c r="BT11" s="10">
        <f t="shared" si="23"/>
        <v>10875</v>
      </c>
      <c r="BU11" s="10">
        <v>10875</v>
      </c>
      <c r="BV11" s="10">
        <v>862</v>
      </c>
      <c r="BW11" s="10">
        <f t="shared" si="24"/>
        <v>17569</v>
      </c>
      <c r="BX11" s="10">
        <v>18431</v>
      </c>
      <c r="BY11" s="10">
        <v>733</v>
      </c>
      <c r="BZ11" s="10">
        <f t="shared" si="25"/>
        <v>23499</v>
      </c>
      <c r="CA11" s="10">
        <v>24232</v>
      </c>
      <c r="CB11" s="10">
        <v>1640</v>
      </c>
      <c r="CC11" s="10">
        <f t="shared" si="26"/>
        <v>7088</v>
      </c>
      <c r="CD11" s="10">
        <v>8728</v>
      </c>
      <c r="CE11" s="10"/>
      <c r="CF11" s="10">
        <f t="shared" si="27"/>
        <v>85683</v>
      </c>
      <c r="CG11" s="10">
        <v>85683</v>
      </c>
      <c r="CH11" s="10">
        <v>1837</v>
      </c>
      <c r="CI11" s="10">
        <f t="shared" si="28"/>
        <v>48863</v>
      </c>
      <c r="CJ11" s="10">
        <v>50700</v>
      </c>
      <c r="CK11" s="10">
        <f>1048+2233</f>
        <v>3281</v>
      </c>
      <c r="CL11" s="10">
        <f t="shared" si="29"/>
        <v>181422</v>
      </c>
      <c r="CM11" s="10">
        <f>128073+56630</f>
        <v>184703</v>
      </c>
      <c r="CN11" s="10">
        <v>9647</v>
      </c>
      <c r="CO11" s="10">
        <f t="shared" si="30"/>
        <v>363332</v>
      </c>
      <c r="CP11" s="10">
        <v>372979</v>
      </c>
      <c r="CQ11" s="108">
        <v>8919</v>
      </c>
      <c r="CR11" s="10">
        <f t="shared" si="31"/>
        <v>532091</v>
      </c>
      <c r="CS11" s="108">
        <v>541010</v>
      </c>
      <c r="CT11" s="10">
        <v>466</v>
      </c>
      <c r="CU11" s="10">
        <f t="shared" si="32"/>
        <v>15917</v>
      </c>
      <c r="CV11" s="10">
        <v>16383</v>
      </c>
    </row>
    <row r="12" spans="1:100" x14ac:dyDescent="0.25">
      <c r="A12" s="10" t="s">
        <v>158</v>
      </c>
      <c r="B12" s="10">
        <v>10</v>
      </c>
      <c r="C12" s="10">
        <f t="shared" si="0"/>
        <v>799</v>
      </c>
      <c r="D12" s="10">
        <v>809</v>
      </c>
      <c r="E12" s="10"/>
      <c r="F12" s="10">
        <f t="shared" si="1"/>
        <v>75</v>
      </c>
      <c r="G12" s="10">
        <v>75</v>
      </c>
      <c r="H12" s="10"/>
      <c r="I12" s="10">
        <f t="shared" si="2"/>
        <v>1692207</v>
      </c>
      <c r="J12" s="10">
        <v>1692207</v>
      </c>
      <c r="K12" s="10">
        <v>894</v>
      </c>
      <c r="L12" s="10">
        <f t="shared" si="3"/>
        <v>35272</v>
      </c>
      <c r="M12" s="10">
        <v>36166</v>
      </c>
      <c r="N12" s="10">
        <v>243</v>
      </c>
      <c r="O12" s="10">
        <f t="shared" si="4"/>
        <v>1185</v>
      </c>
      <c r="P12" s="10">
        <v>1428</v>
      </c>
      <c r="Q12" s="10">
        <v>737</v>
      </c>
      <c r="R12" s="10">
        <f t="shared" si="5"/>
        <v>1364</v>
      </c>
      <c r="S12" s="10">
        <v>2101</v>
      </c>
      <c r="T12" s="10"/>
      <c r="U12" s="10">
        <f t="shared" si="6"/>
        <v>202</v>
      </c>
      <c r="V12" s="10">
        <v>202</v>
      </c>
      <c r="W12" s="10">
        <v>3</v>
      </c>
      <c r="X12" s="10">
        <f t="shared" si="7"/>
        <v>39</v>
      </c>
      <c r="Y12" s="10">
        <v>42</v>
      </c>
      <c r="Z12" s="10">
        <v>285</v>
      </c>
      <c r="AA12" s="10">
        <f t="shared" si="8"/>
        <v>1381</v>
      </c>
      <c r="AB12" s="10">
        <v>1666</v>
      </c>
      <c r="AC12" s="10">
        <v>356</v>
      </c>
      <c r="AD12" s="10">
        <f t="shared" si="9"/>
        <v>665</v>
      </c>
      <c r="AE12" s="10">
        <v>1021</v>
      </c>
      <c r="AF12" s="10">
        <v>443</v>
      </c>
      <c r="AG12" s="10">
        <f t="shared" si="10"/>
        <v>4541</v>
      </c>
      <c r="AH12" s="10">
        <v>4984</v>
      </c>
      <c r="AI12" s="10"/>
      <c r="AJ12" s="10">
        <f t="shared" si="11"/>
        <v>443</v>
      </c>
      <c r="AK12" s="10">
        <v>443</v>
      </c>
      <c r="AL12" s="10">
        <v>1358</v>
      </c>
      <c r="AM12" s="10">
        <f t="shared" si="12"/>
        <v>4231</v>
      </c>
      <c r="AN12" s="10">
        <v>5589</v>
      </c>
      <c r="AO12" s="10">
        <v>187</v>
      </c>
      <c r="AP12" s="10">
        <f t="shared" si="13"/>
        <v>9778</v>
      </c>
      <c r="AQ12" s="10">
        <v>9965</v>
      </c>
      <c r="AR12" s="10">
        <v>14</v>
      </c>
      <c r="AS12" s="10">
        <f t="shared" si="14"/>
        <v>369</v>
      </c>
      <c r="AT12" s="10">
        <v>383</v>
      </c>
      <c r="AU12" s="10">
        <v>800</v>
      </c>
      <c r="AV12" s="10">
        <f t="shared" si="15"/>
        <v>466</v>
      </c>
      <c r="AW12" s="10">
        <v>1266</v>
      </c>
      <c r="AX12" s="10">
        <v>166</v>
      </c>
      <c r="AY12" s="10">
        <f t="shared" si="16"/>
        <v>611</v>
      </c>
      <c r="AZ12" s="10">
        <v>777</v>
      </c>
      <c r="BA12" s="10"/>
      <c r="BB12" s="10">
        <f t="shared" si="17"/>
        <v>27</v>
      </c>
      <c r="BC12" s="10">
        <v>27</v>
      </c>
      <c r="BD12" s="10"/>
      <c r="BE12" s="10">
        <f t="shared" si="18"/>
        <v>26</v>
      </c>
      <c r="BF12" s="10">
        <v>26</v>
      </c>
      <c r="BG12" s="10">
        <v>3174</v>
      </c>
      <c r="BH12" s="10">
        <f t="shared" si="19"/>
        <v>101868</v>
      </c>
      <c r="BI12" s="10">
        <v>105042</v>
      </c>
      <c r="BJ12" s="10">
        <v>20</v>
      </c>
      <c r="BK12" s="10">
        <f t="shared" si="20"/>
        <v>28</v>
      </c>
      <c r="BL12" s="10">
        <v>48</v>
      </c>
      <c r="BM12" s="10">
        <v>121</v>
      </c>
      <c r="BN12" s="10">
        <f t="shared" si="21"/>
        <v>93</v>
      </c>
      <c r="BO12" s="10">
        <v>214</v>
      </c>
      <c r="BP12" s="10">
        <v>418</v>
      </c>
      <c r="BQ12" s="10">
        <f t="shared" si="22"/>
        <v>2597</v>
      </c>
      <c r="BR12" s="10">
        <v>3015</v>
      </c>
      <c r="BS12" s="10"/>
      <c r="BT12" s="10">
        <f t="shared" si="23"/>
        <v>2512</v>
      </c>
      <c r="BU12" s="10">
        <v>2512</v>
      </c>
      <c r="BV12" s="10">
        <v>294</v>
      </c>
      <c r="BW12" s="10">
        <f t="shared" si="24"/>
        <v>2270</v>
      </c>
      <c r="BX12" s="10">
        <v>2564</v>
      </c>
      <c r="BY12" s="10">
        <v>212</v>
      </c>
      <c r="BZ12" s="10">
        <f t="shared" si="25"/>
        <v>8287</v>
      </c>
      <c r="CA12" s="10">
        <v>8499</v>
      </c>
      <c r="CB12" s="10">
        <v>817</v>
      </c>
      <c r="CC12" s="10">
        <f t="shared" si="26"/>
        <v>879</v>
      </c>
      <c r="CD12" s="10">
        <v>1696</v>
      </c>
      <c r="CE12" s="10"/>
      <c r="CF12" s="10">
        <f t="shared" si="27"/>
        <v>8008</v>
      </c>
      <c r="CG12" s="10">
        <v>8008</v>
      </c>
      <c r="CH12" s="10">
        <v>826</v>
      </c>
      <c r="CI12" s="10">
        <f t="shared" si="28"/>
        <v>5451</v>
      </c>
      <c r="CJ12" s="10">
        <v>6277</v>
      </c>
      <c r="CK12" s="10">
        <v>2780</v>
      </c>
      <c r="CL12" s="10">
        <f t="shared" si="29"/>
        <v>15058</v>
      </c>
      <c r="CM12" s="10">
        <v>17838</v>
      </c>
      <c r="CN12" s="10">
        <v>4205</v>
      </c>
      <c r="CO12" s="10">
        <f t="shared" si="30"/>
        <v>26197</v>
      </c>
      <c r="CP12" s="10">
        <v>30402</v>
      </c>
      <c r="CQ12" s="108">
        <v>6084</v>
      </c>
      <c r="CR12" s="10">
        <f t="shared" si="31"/>
        <v>31728</v>
      </c>
      <c r="CS12" s="108">
        <v>37812</v>
      </c>
      <c r="CT12" s="10">
        <v>437</v>
      </c>
      <c r="CU12" s="10">
        <f t="shared" si="32"/>
        <v>2330</v>
      </c>
      <c r="CV12" s="10">
        <v>2767</v>
      </c>
    </row>
    <row r="13" spans="1:100" x14ac:dyDescent="0.25">
      <c r="A13" s="10" t="s">
        <v>159</v>
      </c>
      <c r="B13" s="10">
        <v>147</v>
      </c>
      <c r="C13" s="10">
        <f t="shared" si="0"/>
        <v>3306</v>
      </c>
      <c r="D13" s="10">
        <v>3453</v>
      </c>
      <c r="E13" s="10"/>
      <c r="F13" s="10">
        <f t="shared" si="1"/>
        <v>55</v>
      </c>
      <c r="G13" s="10">
        <v>55</v>
      </c>
      <c r="H13" s="10"/>
      <c r="I13" s="10">
        <f t="shared" si="2"/>
        <v>527555</v>
      </c>
      <c r="J13" s="10">
        <v>527555</v>
      </c>
      <c r="K13" s="10">
        <v>7916</v>
      </c>
      <c r="L13" s="10">
        <f t="shared" si="3"/>
        <v>22267</v>
      </c>
      <c r="M13" s="10">
        <v>30183</v>
      </c>
      <c r="N13" s="10">
        <v>1830</v>
      </c>
      <c r="O13" s="10">
        <f t="shared" si="4"/>
        <v>1488</v>
      </c>
      <c r="P13" s="10">
        <v>3318</v>
      </c>
      <c r="Q13" s="10">
        <v>6332</v>
      </c>
      <c r="R13" s="10">
        <f t="shared" si="5"/>
        <v>1439</v>
      </c>
      <c r="S13" s="10">
        <v>7771</v>
      </c>
      <c r="T13" s="10"/>
      <c r="U13" s="10">
        <f t="shared" si="6"/>
        <v>154</v>
      </c>
      <c r="V13" s="10">
        <v>154</v>
      </c>
      <c r="W13" s="10">
        <v>70</v>
      </c>
      <c r="X13" s="10">
        <f t="shared" si="7"/>
        <v>33</v>
      </c>
      <c r="Y13" s="10">
        <v>103</v>
      </c>
      <c r="Z13" s="10">
        <v>1418</v>
      </c>
      <c r="AA13" s="10">
        <f t="shared" si="8"/>
        <v>1386</v>
      </c>
      <c r="AB13" s="10">
        <v>2804</v>
      </c>
      <c r="AC13" s="10">
        <v>1255</v>
      </c>
      <c r="AD13" s="10">
        <f t="shared" si="9"/>
        <v>685</v>
      </c>
      <c r="AE13" s="10">
        <v>1940</v>
      </c>
      <c r="AF13" s="10">
        <v>5699</v>
      </c>
      <c r="AG13" s="10">
        <f t="shared" si="10"/>
        <v>4856</v>
      </c>
      <c r="AH13" s="10">
        <v>10555</v>
      </c>
      <c r="AI13" s="10"/>
      <c r="AJ13" s="10">
        <f t="shared" si="11"/>
        <v>264</v>
      </c>
      <c r="AK13" s="10">
        <v>264</v>
      </c>
      <c r="AL13" s="10">
        <v>7852</v>
      </c>
      <c r="AM13" s="10">
        <f t="shared" si="12"/>
        <v>6880</v>
      </c>
      <c r="AN13" s="10">
        <v>14732</v>
      </c>
      <c r="AO13" s="10">
        <v>1852</v>
      </c>
      <c r="AP13" s="10">
        <f t="shared" si="13"/>
        <v>6083</v>
      </c>
      <c r="AQ13" s="10">
        <v>7935</v>
      </c>
      <c r="AR13" s="10">
        <v>225</v>
      </c>
      <c r="AS13" s="10">
        <f t="shared" si="14"/>
        <v>466</v>
      </c>
      <c r="AT13" s="10">
        <v>691</v>
      </c>
      <c r="AU13" s="10">
        <v>1305</v>
      </c>
      <c r="AV13" s="10">
        <f t="shared" si="15"/>
        <v>1072</v>
      </c>
      <c r="AW13" s="10">
        <v>2377</v>
      </c>
      <c r="AX13" s="10">
        <v>1793</v>
      </c>
      <c r="AY13" s="10">
        <f t="shared" si="16"/>
        <v>433</v>
      </c>
      <c r="AZ13" s="10">
        <v>2226</v>
      </c>
      <c r="BA13" s="10"/>
      <c r="BB13" s="10">
        <f t="shared" si="17"/>
        <v>21</v>
      </c>
      <c r="BC13" s="10">
        <v>21</v>
      </c>
      <c r="BD13" s="10"/>
      <c r="BE13" s="10">
        <f t="shared" si="18"/>
        <v>3</v>
      </c>
      <c r="BF13" s="10">
        <v>3</v>
      </c>
      <c r="BG13" s="10">
        <v>17008</v>
      </c>
      <c r="BH13" s="10">
        <f t="shared" si="19"/>
        <v>74214</v>
      </c>
      <c r="BI13" s="10">
        <v>91222</v>
      </c>
      <c r="BJ13" s="10">
        <v>101</v>
      </c>
      <c r="BK13" s="10">
        <f t="shared" si="20"/>
        <v>40</v>
      </c>
      <c r="BL13" s="10">
        <v>141</v>
      </c>
      <c r="BM13" s="10">
        <v>254</v>
      </c>
      <c r="BN13" s="10">
        <f t="shared" si="21"/>
        <v>53</v>
      </c>
      <c r="BO13" s="10">
        <v>307</v>
      </c>
      <c r="BP13" s="10">
        <v>6817</v>
      </c>
      <c r="BQ13" s="10">
        <f t="shared" si="22"/>
        <v>3083</v>
      </c>
      <c r="BR13" s="10">
        <v>9900</v>
      </c>
      <c r="BS13" s="10"/>
      <c r="BT13" s="10">
        <f t="shared" si="23"/>
        <v>1383</v>
      </c>
      <c r="BU13" s="10">
        <v>1383</v>
      </c>
      <c r="BV13" s="10">
        <v>3201</v>
      </c>
      <c r="BW13" s="10">
        <f t="shared" si="24"/>
        <v>2335</v>
      </c>
      <c r="BX13" s="10">
        <v>5536</v>
      </c>
      <c r="BY13" s="10">
        <v>1592</v>
      </c>
      <c r="BZ13" s="10">
        <f t="shared" si="25"/>
        <v>1713</v>
      </c>
      <c r="CA13" s="10">
        <v>3305</v>
      </c>
      <c r="CB13" s="10">
        <v>5520</v>
      </c>
      <c r="CC13" s="10">
        <f t="shared" si="26"/>
        <v>867</v>
      </c>
      <c r="CD13" s="10">
        <v>6387</v>
      </c>
      <c r="CE13" s="10"/>
      <c r="CF13" s="10">
        <f t="shared" si="27"/>
        <v>1612</v>
      </c>
      <c r="CG13" s="10">
        <v>1612</v>
      </c>
      <c r="CH13" s="10">
        <v>6897</v>
      </c>
      <c r="CI13" s="10">
        <f t="shared" si="28"/>
        <v>5156</v>
      </c>
      <c r="CJ13" s="10">
        <v>12053</v>
      </c>
      <c r="CK13" s="10">
        <v>21946</v>
      </c>
      <c r="CL13" s="10">
        <f t="shared" si="29"/>
        <v>25229</v>
      </c>
      <c r="CM13" s="10">
        <v>47175</v>
      </c>
      <c r="CN13" s="10">
        <v>10569</v>
      </c>
      <c r="CO13" s="10">
        <f t="shared" si="30"/>
        <v>14218</v>
      </c>
      <c r="CP13" s="10">
        <v>24787</v>
      </c>
      <c r="CQ13" s="108">
        <v>24759</v>
      </c>
      <c r="CR13" s="10">
        <f t="shared" si="31"/>
        <v>39926</v>
      </c>
      <c r="CS13" s="108">
        <v>64685</v>
      </c>
      <c r="CT13" s="10">
        <v>1770</v>
      </c>
      <c r="CU13" s="10">
        <f t="shared" si="32"/>
        <v>1228</v>
      </c>
      <c r="CV13" s="10">
        <v>2998</v>
      </c>
    </row>
    <row r="14" spans="1:100" x14ac:dyDescent="0.25">
      <c r="A14" s="10" t="s">
        <v>160</v>
      </c>
      <c r="B14" s="10">
        <v>28</v>
      </c>
      <c r="C14" s="10">
        <f t="shared" si="0"/>
        <v>959</v>
      </c>
      <c r="D14" s="10">
        <v>987</v>
      </c>
      <c r="E14" s="10"/>
      <c r="F14" s="10">
        <f t="shared" si="1"/>
        <v>0</v>
      </c>
      <c r="G14" s="10"/>
      <c r="H14" s="10"/>
      <c r="I14" s="10">
        <f t="shared" si="2"/>
        <v>1482034</v>
      </c>
      <c r="J14" s="10">
        <v>1482034</v>
      </c>
      <c r="K14" s="10">
        <v>40586</v>
      </c>
      <c r="L14" s="10">
        <f t="shared" si="3"/>
        <v>-31190</v>
      </c>
      <c r="M14" s="10">
        <v>9396</v>
      </c>
      <c r="N14" s="10">
        <v>8704</v>
      </c>
      <c r="O14" s="10">
        <f t="shared" si="4"/>
        <v>2059</v>
      </c>
      <c r="P14" s="10">
        <v>10763</v>
      </c>
      <c r="Q14" s="10">
        <v>20351</v>
      </c>
      <c r="R14" s="10">
        <f t="shared" si="5"/>
        <v>15323</v>
      </c>
      <c r="S14" s="10">
        <v>35674</v>
      </c>
      <c r="T14" s="10"/>
      <c r="U14" s="10">
        <f t="shared" si="6"/>
        <v>127</v>
      </c>
      <c r="V14" s="10">
        <v>127</v>
      </c>
      <c r="W14" s="10">
        <v>52</v>
      </c>
      <c r="X14" s="10">
        <f t="shared" si="7"/>
        <v>0</v>
      </c>
      <c r="Y14" s="10">
        <v>52</v>
      </c>
      <c r="Z14" s="10">
        <v>6465</v>
      </c>
      <c r="AA14" s="10">
        <f t="shared" si="8"/>
        <v>2547</v>
      </c>
      <c r="AB14" s="10">
        <v>9012</v>
      </c>
      <c r="AC14" s="10">
        <v>582</v>
      </c>
      <c r="AD14" s="10">
        <f t="shared" si="9"/>
        <v>203</v>
      </c>
      <c r="AE14" s="10">
        <v>785</v>
      </c>
      <c r="AF14" s="10">
        <v>25343</v>
      </c>
      <c r="AG14" s="10">
        <f t="shared" si="10"/>
        <v>1054</v>
      </c>
      <c r="AH14" s="10">
        <v>26397</v>
      </c>
      <c r="AI14" s="10"/>
      <c r="AJ14" s="10">
        <f t="shared" si="11"/>
        <v>1208</v>
      </c>
      <c r="AK14" s="10">
        <v>1208</v>
      </c>
      <c r="AL14" s="10">
        <v>38705</v>
      </c>
      <c r="AM14" s="10">
        <f t="shared" si="12"/>
        <v>14202</v>
      </c>
      <c r="AN14" s="10">
        <v>52907</v>
      </c>
      <c r="AO14" s="10">
        <v>34047</v>
      </c>
      <c r="AP14" s="10">
        <f t="shared" si="13"/>
        <v>3631</v>
      </c>
      <c r="AQ14" s="10">
        <v>37678</v>
      </c>
      <c r="AR14" s="10">
        <v>466</v>
      </c>
      <c r="AS14" s="10">
        <f t="shared" si="14"/>
        <v>94</v>
      </c>
      <c r="AT14" s="10">
        <v>560</v>
      </c>
      <c r="AU14" s="10">
        <v>3256</v>
      </c>
      <c r="AV14" s="10">
        <f t="shared" si="15"/>
        <v>961</v>
      </c>
      <c r="AW14" s="10">
        <v>4217</v>
      </c>
      <c r="AX14" s="10">
        <v>4261</v>
      </c>
      <c r="AY14" s="10">
        <f t="shared" si="16"/>
        <v>455</v>
      </c>
      <c r="AZ14" s="10">
        <v>4716</v>
      </c>
      <c r="BA14" s="10"/>
      <c r="BB14" s="10">
        <f t="shared" si="17"/>
        <v>5</v>
      </c>
      <c r="BC14" s="10">
        <v>5</v>
      </c>
      <c r="BD14" s="10"/>
      <c r="BE14" s="10">
        <f t="shared" si="18"/>
        <v>1</v>
      </c>
      <c r="BF14" s="10">
        <v>1</v>
      </c>
      <c r="BG14" s="10">
        <v>86143</v>
      </c>
      <c r="BH14" s="10">
        <f t="shared" si="19"/>
        <v>189532</v>
      </c>
      <c r="BI14" s="10">
        <v>275675</v>
      </c>
      <c r="BJ14" s="10">
        <v>15</v>
      </c>
      <c r="BK14" s="10">
        <f t="shared" si="20"/>
        <v>7</v>
      </c>
      <c r="BL14" s="10">
        <v>22</v>
      </c>
      <c r="BM14" s="10">
        <v>146</v>
      </c>
      <c r="BN14" s="10">
        <f t="shared" si="21"/>
        <v>6</v>
      </c>
      <c r="BO14" s="10">
        <v>152</v>
      </c>
      <c r="BP14" s="10">
        <v>49372</v>
      </c>
      <c r="BQ14" s="10">
        <f t="shared" si="22"/>
        <v>13308</v>
      </c>
      <c r="BR14" s="10">
        <v>62680</v>
      </c>
      <c r="BS14" s="10"/>
      <c r="BT14" s="10">
        <f t="shared" si="23"/>
        <v>0</v>
      </c>
      <c r="BU14" s="10"/>
      <c r="BV14" s="10">
        <v>16389</v>
      </c>
      <c r="BW14" s="10">
        <f t="shared" si="24"/>
        <v>2930</v>
      </c>
      <c r="BX14" s="10">
        <v>19319</v>
      </c>
      <c r="BY14" s="10">
        <v>5362</v>
      </c>
      <c r="BZ14" s="10">
        <f t="shared" si="25"/>
        <v>3150</v>
      </c>
      <c r="CA14" s="10">
        <f>3990+4522</f>
        <v>8512</v>
      </c>
      <c r="CB14" s="10">
        <v>34683</v>
      </c>
      <c r="CC14" s="10">
        <f t="shared" si="26"/>
        <v>2928</v>
      </c>
      <c r="CD14" s="10">
        <v>37611</v>
      </c>
      <c r="CE14" s="10"/>
      <c r="CF14" s="10">
        <f t="shared" si="27"/>
        <v>239</v>
      </c>
      <c r="CG14" s="10">
        <v>239</v>
      </c>
      <c r="CH14" s="10">
        <v>13685</v>
      </c>
      <c r="CI14" s="10">
        <f t="shared" si="28"/>
        <v>3730</v>
      </c>
      <c r="CJ14" s="10">
        <v>17415</v>
      </c>
      <c r="CK14" s="10">
        <v>130629</v>
      </c>
      <c r="CL14" s="10">
        <f t="shared" si="29"/>
        <v>19737</v>
      </c>
      <c r="CM14" s="10">
        <v>150366</v>
      </c>
      <c r="CN14" s="10">
        <v>68128</v>
      </c>
      <c r="CO14" s="10">
        <f t="shared" si="30"/>
        <v>13562</v>
      </c>
      <c r="CP14" s="10">
        <v>81690</v>
      </c>
      <c r="CQ14" s="108">
        <v>127918</v>
      </c>
      <c r="CR14" s="10">
        <f t="shared" si="31"/>
        <v>52181</v>
      </c>
      <c r="CS14" s="108">
        <v>180099</v>
      </c>
      <c r="CT14" s="10">
        <v>5854</v>
      </c>
      <c r="CU14" s="10">
        <f t="shared" si="32"/>
        <v>404</v>
      </c>
      <c r="CV14" s="10">
        <v>6258</v>
      </c>
    </row>
    <row r="15" spans="1:100" x14ac:dyDescent="0.25">
      <c r="BY15" s="95"/>
      <c r="CQ15" s="95"/>
    </row>
  </sheetData>
  <mergeCells count="33">
    <mergeCell ref="CQ3:CS3"/>
    <mergeCell ref="CT3:CV3"/>
    <mergeCell ref="BV3:BX3"/>
    <mergeCell ref="CB3:CD3"/>
    <mergeCell ref="CE3:CG3"/>
    <mergeCell ref="CH3:CJ3"/>
    <mergeCell ref="CK3:CM3"/>
    <mergeCell ref="CN3:CP3"/>
    <mergeCell ref="BY3:CA3"/>
    <mergeCell ref="BS3:BU3"/>
    <mergeCell ref="AL3:AN3"/>
    <mergeCell ref="AO3:AQ3"/>
    <mergeCell ref="AR3:AT3"/>
    <mergeCell ref="AU3:AW3"/>
    <mergeCell ref="AX3:AZ3"/>
    <mergeCell ref="BA3:BC3"/>
    <mergeCell ref="BD3:BF3"/>
    <mergeCell ref="BG3:BI3"/>
    <mergeCell ref="BJ3:BL3"/>
    <mergeCell ref="BM3:BO3"/>
    <mergeCell ref="BP3:BR3"/>
    <mergeCell ref="AI3:AK3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5" x14ac:dyDescent="0.25"/>
  <cols>
    <col min="1" max="1" width="39.28515625" customWidth="1"/>
    <col min="2" max="67" width="16" customWidth="1"/>
  </cols>
  <sheetData>
    <row r="1" spans="1:67" ht="18.75" x14ac:dyDescent="0.3">
      <c r="A1" s="21" t="s">
        <v>126</v>
      </c>
    </row>
    <row r="2" spans="1:67" x14ac:dyDescent="0.25">
      <c r="A2" s="1" t="s">
        <v>0</v>
      </c>
      <c r="B2" s="116" t="s">
        <v>1</v>
      </c>
      <c r="C2" s="117"/>
      <c r="D2" s="116" t="s">
        <v>285</v>
      </c>
      <c r="E2" s="117"/>
      <c r="F2" s="116" t="s">
        <v>2</v>
      </c>
      <c r="G2" s="117"/>
      <c r="H2" s="116" t="s">
        <v>3</v>
      </c>
      <c r="I2" s="117"/>
      <c r="J2" s="116" t="s">
        <v>4</v>
      </c>
      <c r="K2" s="117"/>
      <c r="L2" s="116" t="s">
        <v>286</v>
      </c>
      <c r="M2" s="117"/>
      <c r="N2" s="116" t="s">
        <v>6</v>
      </c>
      <c r="O2" s="117"/>
      <c r="P2" s="116" t="s">
        <v>5</v>
      </c>
      <c r="Q2" s="117"/>
      <c r="R2" s="116" t="s">
        <v>7</v>
      </c>
      <c r="S2" s="117"/>
      <c r="T2" s="116" t="s">
        <v>287</v>
      </c>
      <c r="U2" s="117"/>
      <c r="V2" s="116" t="s">
        <v>8</v>
      </c>
      <c r="W2" s="117"/>
      <c r="X2" s="116" t="s">
        <v>288</v>
      </c>
      <c r="Y2" s="117"/>
      <c r="Z2" s="116" t="s">
        <v>9</v>
      </c>
      <c r="AA2" s="117"/>
      <c r="AB2" s="116" t="s">
        <v>10</v>
      </c>
      <c r="AC2" s="117"/>
      <c r="AD2" s="116" t="s">
        <v>289</v>
      </c>
      <c r="AE2" s="117"/>
      <c r="AF2" s="116" t="s">
        <v>11</v>
      </c>
      <c r="AG2" s="117"/>
      <c r="AH2" s="116" t="s">
        <v>12</v>
      </c>
      <c r="AI2" s="117"/>
      <c r="AJ2" s="116" t="s">
        <v>290</v>
      </c>
      <c r="AK2" s="117"/>
      <c r="AL2" s="116" t="s">
        <v>299</v>
      </c>
      <c r="AM2" s="117"/>
      <c r="AN2" s="116" t="s">
        <v>13</v>
      </c>
      <c r="AO2" s="117"/>
      <c r="AP2" s="116" t="s">
        <v>291</v>
      </c>
      <c r="AQ2" s="117"/>
      <c r="AR2" s="116" t="s">
        <v>292</v>
      </c>
      <c r="AS2" s="117"/>
      <c r="AT2" s="116" t="s">
        <v>307</v>
      </c>
      <c r="AU2" s="117"/>
      <c r="AV2" s="116" t="s">
        <v>293</v>
      </c>
      <c r="AW2" s="117"/>
      <c r="AX2" s="116" t="s">
        <v>14</v>
      </c>
      <c r="AY2" s="117"/>
      <c r="AZ2" s="116" t="s">
        <v>15</v>
      </c>
      <c r="BA2" s="117"/>
      <c r="BB2" s="116" t="s">
        <v>16</v>
      </c>
      <c r="BC2" s="117"/>
      <c r="BD2" s="116" t="s">
        <v>17</v>
      </c>
      <c r="BE2" s="117"/>
      <c r="BF2" s="116" t="s">
        <v>18</v>
      </c>
      <c r="BG2" s="117"/>
      <c r="BH2" s="116" t="s">
        <v>294</v>
      </c>
      <c r="BI2" s="117"/>
      <c r="BJ2" s="116" t="s">
        <v>295</v>
      </c>
      <c r="BK2" s="117"/>
      <c r="BL2" s="116" t="s">
        <v>19</v>
      </c>
      <c r="BM2" s="117"/>
      <c r="BN2" s="116" t="s">
        <v>20</v>
      </c>
      <c r="BO2" s="117"/>
    </row>
    <row r="3" spans="1:67" ht="30" x14ac:dyDescent="0.25">
      <c r="A3" s="1"/>
      <c r="B3" s="67" t="s">
        <v>296</v>
      </c>
      <c r="C3" s="68" t="s">
        <v>297</v>
      </c>
      <c r="D3" s="67" t="s">
        <v>296</v>
      </c>
      <c r="E3" s="68" t="s">
        <v>297</v>
      </c>
      <c r="F3" s="67" t="s">
        <v>296</v>
      </c>
      <c r="G3" s="68" t="s">
        <v>297</v>
      </c>
      <c r="H3" s="67" t="s">
        <v>296</v>
      </c>
      <c r="I3" s="68" t="s">
        <v>297</v>
      </c>
      <c r="J3" s="67" t="s">
        <v>296</v>
      </c>
      <c r="K3" s="68" t="s">
        <v>297</v>
      </c>
      <c r="L3" s="67" t="s">
        <v>296</v>
      </c>
      <c r="M3" s="68" t="s">
        <v>297</v>
      </c>
      <c r="N3" s="67" t="s">
        <v>296</v>
      </c>
      <c r="O3" s="68" t="s">
        <v>297</v>
      </c>
      <c r="P3" s="67" t="s">
        <v>296</v>
      </c>
      <c r="Q3" s="68" t="s">
        <v>297</v>
      </c>
      <c r="R3" s="67" t="s">
        <v>296</v>
      </c>
      <c r="S3" s="68" t="s">
        <v>297</v>
      </c>
      <c r="T3" s="67" t="s">
        <v>296</v>
      </c>
      <c r="U3" s="68" t="s">
        <v>297</v>
      </c>
      <c r="V3" s="67" t="s">
        <v>296</v>
      </c>
      <c r="W3" s="68" t="s">
        <v>297</v>
      </c>
      <c r="X3" s="67" t="s">
        <v>296</v>
      </c>
      <c r="Y3" s="68" t="s">
        <v>297</v>
      </c>
      <c r="Z3" s="67" t="s">
        <v>296</v>
      </c>
      <c r="AA3" s="68" t="s">
        <v>297</v>
      </c>
      <c r="AB3" s="67" t="s">
        <v>296</v>
      </c>
      <c r="AC3" s="68" t="s">
        <v>297</v>
      </c>
      <c r="AD3" s="67" t="s">
        <v>296</v>
      </c>
      <c r="AE3" s="68" t="s">
        <v>297</v>
      </c>
      <c r="AF3" s="67" t="s">
        <v>296</v>
      </c>
      <c r="AG3" s="68" t="s">
        <v>297</v>
      </c>
      <c r="AH3" s="67" t="s">
        <v>296</v>
      </c>
      <c r="AI3" s="68" t="s">
        <v>297</v>
      </c>
      <c r="AJ3" s="67" t="s">
        <v>296</v>
      </c>
      <c r="AK3" s="68" t="s">
        <v>297</v>
      </c>
      <c r="AL3" s="67" t="s">
        <v>296</v>
      </c>
      <c r="AM3" s="68" t="s">
        <v>297</v>
      </c>
      <c r="AN3" s="67" t="s">
        <v>296</v>
      </c>
      <c r="AO3" s="68" t="s">
        <v>297</v>
      </c>
      <c r="AP3" s="67" t="s">
        <v>296</v>
      </c>
      <c r="AQ3" s="68" t="s">
        <v>297</v>
      </c>
      <c r="AR3" s="67" t="s">
        <v>296</v>
      </c>
      <c r="AS3" s="68" t="s">
        <v>297</v>
      </c>
      <c r="AT3" s="67" t="s">
        <v>296</v>
      </c>
      <c r="AU3" s="68" t="s">
        <v>297</v>
      </c>
      <c r="AV3" s="67" t="s">
        <v>296</v>
      </c>
      <c r="AW3" s="68" t="s">
        <v>297</v>
      </c>
      <c r="AX3" s="67" t="s">
        <v>296</v>
      </c>
      <c r="AY3" s="68" t="s">
        <v>297</v>
      </c>
      <c r="AZ3" s="67" t="s">
        <v>296</v>
      </c>
      <c r="BA3" s="68" t="s">
        <v>297</v>
      </c>
      <c r="BB3" s="67" t="s">
        <v>296</v>
      </c>
      <c r="BC3" s="68" t="s">
        <v>297</v>
      </c>
      <c r="BD3" s="67" t="s">
        <v>296</v>
      </c>
      <c r="BE3" s="68" t="s">
        <v>297</v>
      </c>
      <c r="BF3" s="67" t="s">
        <v>296</v>
      </c>
      <c r="BG3" s="68" t="s">
        <v>297</v>
      </c>
      <c r="BH3" s="67" t="s">
        <v>296</v>
      </c>
      <c r="BI3" s="68" t="s">
        <v>297</v>
      </c>
      <c r="BJ3" s="67" t="s">
        <v>296</v>
      </c>
      <c r="BK3" s="68" t="s">
        <v>297</v>
      </c>
      <c r="BL3" s="67" t="s">
        <v>296</v>
      </c>
      <c r="BM3" s="68" t="s">
        <v>297</v>
      </c>
      <c r="BN3" s="67" t="s">
        <v>296</v>
      </c>
      <c r="BO3" s="68" t="s">
        <v>297</v>
      </c>
    </row>
    <row r="4" spans="1:67" x14ac:dyDescent="0.25">
      <c r="A4" s="15" t="s">
        <v>127</v>
      </c>
      <c r="B4" s="47">
        <v>-5.1999999999999998E-2</v>
      </c>
      <c r="C4" s="47">
        <v>-9.5799999999999996E-2</v>
      </c>
      <c r="D4" s="77">
        <v>0.77</v>
      </c>
      <c r="E4" s="77">
        <v>0.75</v>
      </c>
      <c r="F4" s="47">
        <v>0.1799</v>
      </c>
      <c r="G4" s="47">
        <v>0.1318</v>
      </c>
      <c r="H4" s="47">
        <v>-2.8000000000000001E-2</v>
      </c>
      <c r="I4" s="49">
        <v>-9.6000000000000002E-2</v>
      </c>
      <c r="J4" s="46">
        <v>0.06</v>
      </c>
      <c r="K4" s="46">
        <v>-0.01</v>
      </c>
      <c r="L4" s="47">
        <v>2.5999999999999999E-3</v>
      </c>
      <c r="M4" s="47">
        <v>-0.10879999999999999</v>
      </c>
      <c r="N4" s="47">
        <v>5.7200000000000001E-2</v>
      </c>
      <c r="O4" s="47">
        <v>-0.13919999999999999</v>
      </c>
      <c r="P4" s="46">
        <v>0.72</v>
      </c>
      <c r="Q4" s="46">
        <v>0.82</v>
      </c>
      <c r="R4" s="46">
        <v>0.1</v>
      </c>
      <c r="S4" s="46">
        <v>0.12</v>
      </c>
      <c r="T4" s="47">
        <v>0.12839999999999999</v>
      </c>
      <c r="U4" s="47">
        <v>0.10390000000000001</v>
      </c>
      <c r="V4" s="47">
        <v>2.1999999999999999E-2</v>
      </c>
      <c r="W4" s="47">
        <v>-3.2800000000000003E-2</v>
      </c>
      <c r="X4" s="77">
        <v>0.02</v>
      </c>
      <c r="Y4" s="77">
        <v>-0.03</v>
      </c>
      <c r="Z4" s="77">
        <v>0.08</v>
      </c>
      <c r="AA4" s="46">
        <v>0.01</v>
      </c>
      <c r="AB4" s="47">
        <v>8.9099999999999999E-2</v>
      </c>
      <c r="AC4" s="47">
        <v>1.14E-2</v>
      </c>
      <c r="AD4" s="46">
        <v>0.35</v>
      </c>
      <c r="AE4" s="46">
        <v>0.28000000000000003</v>
      </c>
      <c r="AF4" s="46">
        <v>-0.03</v>
      </c>
      <c r="AG4" s="46">
        <v>-0.08</v>
      </c>
      <c r="AH4" s="47">
        <v>3.6999999999999998E-2</v>
      </c>
      <c r="AI4" s="49">
        <v>-7.3999999999999996E-2</v>
      </c>
      <c r="AJ4" s="47">
        <v>0.4662</v>
      </c>
      <c r="AK4" s="47">
        <v>0.30159999999999998</v>
      </c>
      <c r="AL4" s="46">
        <v>0.47</v>
      </c>
      <c r="AM4" s="46">
        <v>0.35</v>
      </c>
      <c r="AN4" s="47">
        <v>-2.4799999999999999E-2</v>
      </c>
      <c r="AO4" s="49">
        <v>-7.4300000000000005E-2</v>
      </c>
      <c r="AP4" s="46">
        <v>-0.56999999999999995</v>
      </c>
      <c r="AQ4" s="46">
        <v>-0.64</v>
      </c>
      <c r="AR4" s="47">
        <v>0.53320000000000001</v>
      </c>
      <c r="AS4" s="47">
        <v>0.49959999999999999</v>
      </c>
      <c r="AT4" s="77">
        <v>7.0000000000000007E-2</v>
      </c>
      <c r="AU4" s="77">
        <v>0.01</v>
      </c>
      <c r="AV4" s="23">
        <v>0.17</v>
      </c>
      <c r="AW4" s="47"/>
      <c r="AX4" s="79">
        <v>-0.40899999999999997</v>
      </c>
      <c r="AY4" s="77">
        <v>-0.32</v>
      </c>
      <c r="AZ4" s="47">
        <v>0.3145</v>
      </c>
      <c r="BA4" s="47">
        <v>0.1623</v>
      </c>
      <c r="BB4" s="47">
        <v>-0.12659999999999999</v>
      </c>
      <c r="BC4" s="47">
        <v>-0.1426</v>
      </c>
      <c r="BD4" s="47">
        <v>0.53510000000000002</v>
      </c>
      <c r="BE4" s="47">
        <v>0.4461</v>
      </c>
      <c r="BF4" s="46">
        <v>0.1</v>
      </c>
      <c r="BG4" s="46">
        <v>-0.05</v>
      </c>
      <c r="BH4" s="23">
        <v>-6.12</v>
      </c>
      <c r="BI4" s="23">
        <v>-0.06</v>
      </c>
      <c r="BJ4" s="23">
        <v>0.81</v>
      </c>
      <c r="BK4" s="23">
        <v>-8.44</v>
      </c>
      <c r="BL4" s="47">
        <v>-0.1202</v>
      </c>
      <c r="BM4" s="46">
        <v>-0.03</v>
      </c>
      <c r="BN4" s="47">
        <v>0.1229</v>
      </c>
      <c r="BO4" s="47">
        <v>0.13600000000000001</v>
      </c>
    </row>
    <row r="5" spans="1:67" ht="15" customHeight="1" x14ac:dyDescent="0.25">
      <c r="A5" s="15" t="s">
        <v>128</v>
      </c>
      <c r="B5" s="36"/>
      <c r="C5" s="46"/>
      <c r="D5" s="77">
        <v>0.76</v>
      </c>
      <c r="E5" s="77">
        <v>1.37</v>
      </c>
      <c r="F5" s="47"/>
      <c r="G5" s="47"/>
      <c r="H5" s="36">
        <v>0.62</v>
      </c>
      <c r="I5" s="36">
        <v>0.96</v>
      </c>
      <c r="J5" s="23">
        <v>1.3</v>
      </c>
      <c r="K5" s="23">
        <v>1.93</v>
      </c>
      <c r="L5" s="36">
        <v>0.64</v>
      </c>
      <c r="M5" s="36">
        <v>1.08</v>
      </c>
      <c r="N5" s="36"/>
      <c r="O5" s="36"/>
      <c r="P5" s="36">
        <v>0.55000000000000004</v>
      </c>
      <c r="Q5" s="36">
        <v>0.9</v>
      </c>
      <c r="R5" s="36"/>
      <c r="S5" s="36"/>
      <c r="T5" s="36"/>
      <c r="U5" s="36"/>
      <c r="V5" s="36">
        <v>1.79</v>
      </c>
      <c r="W5" s="36">
        <v>1.79</v>
      </c>
      <c r="X5" s="36"/>
      <c r="Y5" s="36"/>
      <c r="Z5" s="36">
        <v>0.46</v>
      </c>
      <c r="AA5" s="36">
        <v>0.93</v>
      </c>
      <c r="AB5" s="36"/>
      <c r="AC5" s="36"/>
      <c r="AD5" s="36"/>
      <c r="AE5" s="36"/>
      <c r="AF5" s="23">
        <v>0.37</v>
      </c>
      <c r="AG5" s="36">
        <v>0.74</v>
      </c>
      <c r="AH5" s="36">
        <v>0.7</v>
      </c>
      <c r="AI5" s="36">
        <v>1.21</v>
      </c>
      <c r="AJ5" s="36"/>
      <c r="AK5" s="36"/>
      <c r="AL5" s="36"/>
      <c r="AM5" s="36"/>
      <c r="AN5" s="47"/>
      <c r="AO5" s="47"/>
      <c r="AP5" s="36"/>
      <c r="AQ5" s="36"/>
      <c r="AR5" s="36">
        <v>0.25</v>
      </c>
      <c r="AS5" s="36">
        <v>0.41</v>
      </c>
      <c r="AT5" s="36"/>
      <c r="AU5" s="36"/>
      <c r="AV5" s="36"/>
      <c r="AW5" s="36"/>
      <c r="AX5" s="36">
        <v>0.47</v>
      </c>
      <c r="AY5" s="36">
        <v>0.91</v>
      </c>
      <c r="AZ5" s="36"/>
      <c r="BA5" s="36"/>
      <c r="BB5" s="36"/>
      <c r="BC5" s="36"/>
      <c r="BD5" s="36">
        <v>1.2</v>
      </c>
      <c r="BE5" s="36">
        <v>1.96</v>
      </c>
      <c r="BF5" s="36"/>
      <c r="BG5" s="36"/>
      <c r="BH5" s="23"/>
      <c r="BI5" s="23"/>
      <c r="BJ5" s="36"/>
      <c r="BK5" s="36"/>
      <c r="BL5" s="47">
        <v>5.3814000000000002</v>
      </c>
      <c r="BM5" s="47">
        <v>2.8005</v>
      </c>
      <c r="BN5" s="47"/>
      <c r="BO5" s="47"/>
    </row>
    <row r="6" spans="1:67" ht="15" customHeight="1" x14ac:dyDescent="0.25">
      <c r="A6" s="15" t="s">
        <v>129</v>
      </c>
      <c r="B6" s="36">
        <v>0.52</v>
      </c>
      <c r="C6" s="36">
        <v>0.83</v>
      </c>
      <c r="D6" s="77"/>
      <c r="E6" s="77"/>
      <c r="F6" s="23">
        <v>1.67</v>
      </c>
      <c r="G6" s="23">
        <v>1.73</v>
      </c>
      <c r="H6" s="36"/>
      <c r="I6" s="36"/>
      <c r="J6" s="36"/>
      <c r="K6" s="36"/>
      <c r="L6" s="47"/>
      <c r="M6" s="36"/>
      <c r="N6" s="36">
        <v>0.08</v>
      </c>
      <c r="O6" s="36">
        <v>0.08</v>
      </c>
      <c r="P6" s="46"/>
      <c r="Q6" s="46"/>
      <c r="R6" s="36">
        <v>0.89</v>
      </c>
      <c r="S6" s="36">
        <v>1.54</v>
      </c>
      <c r="T6" s="36">
        <v>0.48</v>
      </c>
      <c r="U6" s="36">
        <v>0.83</v>
      </c>
      <c r="V6" s="36"/>
      <c r="W6" s="36"/>
      <c r="X6" s="36">
        <v>1.1200000000000001</v>
      </c>
      <c r="Y6" s="36">
        <v>1.96</v>
      </c>
      <c r="Z6" s="36"/>
      <c r="AA6" s="36"/>
      <c r="AB6" s="36"/>
      <c r="AC6" s="36">
        <v>1.55</v>
      </c>
      <c r="AD6" s="36">
        <v>0.74</v>
      </c>
      <c r="AE6" s="23">
        <v>1.27</v>
      </c>
      <c r="AF6" s="36"/>
      <c r="AG6" s="36"/>
      <c r="AH6" s="36"/>
      <c r="AI6" s="36"/>
      <c r="AJ6" s="47">
        <v>0.54730000000000001</v>
      </c>
      <c r="AK6" s="47">
        <v>0.96799999999999997</v>
      </c>
      <c r="AL6" s="97" t="s">
        <v>308</v>
      </c>
      <c r="AM6" s="97" t="s">
        <v>309</v>
      </c>
      <c r="AN6" s="47">
        <v>1.17</v>
      </c>
      <c r="AO6" s="47">
        <v>56.95</v>
      </c>
      <c r="AP6" s="36">
        <v>0.11</v>
      </c>
      <c r="AQ6" s="36">
        <v>0.15</v>
      </c>
      <c r="AR6" s="36"/>
      <c r="AS6" s="36"/>
      <c r="AT6" s="36">
        <v>1.34</v>
      </c>
      <c r="AU6" s="36">
        <v>2.27</v>
      </c>
      <c r="AV6" s="36">
        <v>0.7</v>
      </c>
      <c r="AW6" s="36">
        <v>1.21</v>
      </c>
      <c r="AX6" s="36"/>
      <c r="AY6" s="36"/>
      <c r="AZ6" s="36">
        <v>0.96</v>
      </c>
      <c r="BA6" s="36">
        <v>1.44</v>
      </c>
      <c r="BB6" s="47">
        <v>0.27929999999999999</v>
      </c>
      <c r="BC6" s="47">
        <v>0.51070000000000004</v>
      </c>
      <c r="BD6" s="36"/>
      <c r="BE6" s="36"/>
      <c r="BF6" s="36">
        <v>0.7</v>
      </c>
      <c r="BG6" s="36">
        <v>1.33</v>
      </c>
      <c r="BH6" s="23">
        <v>0.44</v>
      </c>
      <c r="BI6" s="23">
        <v>0.91</v>
      </c>
      <c r="BJ6" s="36">
        <v>3.29</v>
      </c>
      <c r="BK6" s="36">
        <v>5.93</v>
      </c>
      <c r="BL6" s="36"/>
      <c r="BM6" s="36"/>
      <c r="BN6" s="36">
        <v>0.86</v>
      </c>
      <c r="BO6" s="36">
        <v>1.25</v>
      </c>
    </row>
    <row r="7" spans="1:67" x14ac:dyDescent="0.25">
      <c r="A7" s="15" t="s">
        <v>130</v>
      </c>
      <c r="B7" s="46">
        <v>0.34</v>
      </c>
      <c r="C7" s="46">
        <v>0.34</v>
      </c>
      <c r="D7" s="77"/>
      <c r="E7" s="77"/>
      <c r="F7" s="47">
        <v>4.0000000000000002E-4</v>
      </c>
      <c r="G7" s="47">
        <v>0.10539999999999999</v>
      </c>
      <c r="H7" s="46"/>
      <c r="I7" s="46"/>
      <c r="J7" s="46"/>
      <c r="K7" s="36"/>
      <c r="L7" s="36"/>
      <c r="M7" s="46"/>
      <c r="N7" s="47">
        <v>0.10489999999999999</v>
      </c>
      <c r="O7" s="47">
        <v>0.10489999999999999</v>
      </c>
      <c r="P7" s="46"/>
      <c r="Q7" s="47"/>
      <c r="R7" s="46">
        <v>0.21</v>
      </c>
      <c r="S7" s="46">
        <v>0.21</v>
      </c>
      <c r="T7" s="36"/>
      <c r="U7" s="47">
        <v>4.1399999999999999E-2</v>
      </c>
      <c r="V7" s="47"/>
      <c r="W7" s="47"/>
      <c r="X7" s="46">
        <v>0.22</v>
      </c>
      <c r="Y7" s="46">
        <v>-0.13</v>
      </c>
      <c r="Z7" s="36"/>
      <c r="AA7" s="46"/>
      <c r="AB7" s="36"/>
      <c r="AC7" s="47">
        <v>0.18090000000000001</v>
      </c>
      <c r="AD7" s="46">
        <v>0.01</v>
      </c>
      <c r="AE7" s="46">
        <v>0.01</v>
      </c>
      <c r="AF7" s="36">
        <v>0.27</v>
      </c>
      <c r="AG7" s="23">
        <v>0.27</v>
      </c>
      <c r="AH7" s="46"/>
      <c r="AI7" s="46"/>
      <c r="AJ7" s="36"/>
      <c r="AK7" s="36"/>
      <c r="AL7" s="46">
        <v>0.41</v>
      </c>
      <c r="AM7" s="46">
        <v>0.41</v>
      </c>
      <c r="AN7" s="49">
        <v>1.1620999999999999</v>
      </c>
      <c r="AO7" s="49">
        <v>1.1620999999999999</v>
      </c>
      <c r="AP7" s="46">
        <v>1.04</v>
      </c>
      <c r="AQ7" s="46">
        <v>1.04</v>
      </c>
      <c r="AR7" s="36"/>
      <c r="AS7" s="36"/>
      <c r="AT7" s="77">
        <v>7.0000000000000007E-2</v>
      </c>
      <c r="AU7" s="77">
        <v>7.0000000000000007E-2</v>
      </c>
      <c r="AV7" s="36">
        <v>0.85</v>
      </c>
      <c r="AW7" s="36">
        <v>0.85</v>
      </c>
      <c r="AX7" s="77"/>
      <c r="AY7" s="77"/>
      <c r="AZ7" s="47">
        <v>0.25819999999999999</v>
      </c>
      <c r="BA7" s="47">
        <v>0.25819999999999999</v>
      </c>
      <c r="BB7" s="47">
        <v>7.2800000000000004E-2</v>
      </c>
      <c r="BC7" s="47">
        <v>7.2800000000000004E-2</v>
      </c>
      <c r="BD7" s="36"/>
      <c r="BE7" s="36"/>
      <c r="BF7" s="46">
        <v>0.04</v>
      </c>
      <c r="BG7" s="46">
        <v>0.12</v>
      </c>
      <c r="BH7" s="47"/>
      <c r="BI7" s="47"/>
      <c r="BJ7" s="36">
        <v>-57.18</v>
      </c>
      <c r="BK7" s="36">
        <v>-57.18</v>
      </c>
      <c r="BL7" s="46"/>
      <c r="BM7" s="46"/>
      <c r="BN7" s="47">
        <v>0.20649999999999999</v>
      </c>
      <c r="BO7" s="47">
        <v>0.20649999999999999</v>
      </c>
    </row>
    <row r="8" spans="1:67" x14ac:dyDescent="0.25">
      <c r="A8" s="15" t="s">
        <v>131</v>
      </c>
      <c r="B8" s="36"/>
      <c r="C8" s="46"/>
      <c r="D8" s="77">
        <v>0.53</v>
      </c>
      <c r="E8" s="46">
        <v>0.53</v>
      </c>
      <c r="F8" s="47"/>
      <c r="G8" s="47"/>
      <c r="H8" s="47">
        <v>0.224</v>
      </c>
      <c r="I8" s="47">
        <v>0.224</v>
      </c>
      <c r="J8" s="46">
        <v>0.22</v>
      </c>
      <c r="K8" s="46">
        <v>0.22</v>
      </c>
      <c r="L8" s="47">
        <v>5.9400000000000001E-2</v>
      </c>
      <c r="M8" s="47">
        <v>0.2132</v>
      </c>
      <c r="N8" s="47"/>
      <c r="O8" s="47"/>
      <c r="P8" s="46">
        <v>0.04</v>
      </c>
      <c r="Q8" s="46">
        <v>-0.16</v>
      </c>
      <c r="R8" s="36"/>
      <c r="S8" s="36"/>
      <c r="T8" s="46"/>
      <c r="U8" s="77"/>
      <c r="V8" s="47">
        <v>0.25409999999999999</v>
      </c>
      <c r="W8" s="47">
        <v>0.25409999999999999</v>
      </c>
      <c r="X8" s="36"/>
      <c r="Y8" s="36"/>
      <c r="Z8" s="46">
        <v>0.13</v>
      </c>
      <c r="AA8" s="46">
        <v>0.13</v>
      </c>
      <c r="AB8" s="47"/>
      <c r="AC8" s="47"/>
      <c r="AD8" s="46"/>
      <c r="AE8" s="46"/>
      <c r="AF8" s="46"/>
      <c r="AG8" s="36"/>
      <c r="AH8" s="96">
        <v>0.21</v>
      </c>
      <c r="AI8" s="96">
        <v>0.21</v>
      </c>
      <c r="AJ8" s="47">
        <v>1.9331</v>
      </c>
      <c r="AK8" s="47">
        <v>1.9331</v>
      </c>
      <c r="AL8" s="47"/>
      <c r="AM8" s="47"/>
      <c r="AN8" s="47"/>
      <c r="AO8" s="47"/>
      <c r="AP8" s="46"/>
      <c r="AQ8" s="46"/>
      <c r="AR8" s="47">
        <v>0.1958</v>
      </c>
      <c r="AS8" s="47">
        <v>0.1958</v>
      </c>
      <c r="AT8" s="77"/>
      <c r="AU8" s="77"/>
      <c r="AV8" s="47"/>
      <c r="AW8" s="47"/>
      <c r="AX8" s="47">
        <v>0.16800000000000001</v>
      </c>
      <c r="AY8" s="47">
        <v>0.16800000000000001</v>
      </c>
      <c r="AZ8" s="36"/>
      <c r="BA8" s="36"/>
      <c r="BB8" s="36"/>
      <c r="BC8" s="36"/>
      <c r="BD8" s="47">
        <v>0.51690000000000003</v>
      </c>
      <c r="BE8" s="47">
        <v>0.51690000000000003</v>
      </c>
      <c r="BF8" s="36"/>
      <c r="BG8" s="36"/>
      <c r="BH8" s="36">
        <v>1.75</v>
      </c>
      <c r="BI8" s="36">
        <v>1.75</v>
      </c>
      <c r="BJ8" s="46"/>
      <c r="BK8" s="46"/>
      <c r="BL8" s="47">
        <v>-1.8838999999999999</v>
      </c>
      <c r="BM8" s="47">
        <v>0.4884</v>
      </c>
      <c r="BN8" s="47"/>
      <c r="BO8" s="47"/>
    </row>
    <row r="9" spans="1:67" x14ac:dyDescent="0.25">
      <c r="A9" s="15" t="s">
        <v>132</v>
      </c>
      <c r="B9" s="47">
        <v>0.50319999999999998</v>
      </c>
      <c r="C9" s="47">
        <v>0.50390000000000001</v>
      </c>
      <c r="D9" s="77">
        <v>0.74</v>
      </c>
      <c r="E9" s="46">
        <v>0.74</v>
      </c>
      <c r="F9" s="47">
        <v>0.17979999999999999</v>
      </c>
      <c r="G9" s="47">
        <v>0.50439999999999996</v>
      </c>
      <c r="H9" s="47">
        <v>0.502</v>
      </c>
      <c r="I9" s="47">
        <v>0.53700000000000003</v>
      </c>
      <c r="J9" s="46">
        <v>0.47</v>
      </c>
      <c r="K9" s="46">
        <v>0.53</v>
      </c>
      <c r="L9" s="47">
        <v>0.76019999999999999</v>
      </c>
      <c r="M9" s="47">
        <v>0.75</v>
      </c>
      <c r="N9" s="47">
        <v>0.82050000000000001</v>
      </c>
      <c r="O9" s="47">
        <v>0.77569999999999995</v>
      </c>
      <c r="P9" s="46">
        <v>0.88</v>
      </c>
      <c r="Q9" s="46">
        <v>0.83</v>
      </c>
      <c r="R9" s="46">
        <v>0.56999999999999995</v>
      </c>
      <c r="S9" s="46">
        <v>0.57999999999999996</v>
      </c>
      <c r="T9" s="47">
        <v>0.8377</v>
      </c>
      <c r="U9" s="47">
        <v>0.74250000000000005</v>
      </c>
      <c r="V9" s="47">
        <v>0.40110000000000001</v>
      </c>
      <c r="W9" s="49">
        <v>0.43559999999999999</v>
      </c>
      <c r="X9" s="46">
        <v>0.7</v>
      </c>
      <c r="Y9" s="46">
        <v>0.7</v>
      </c>
      <c r="Z9" s="46">
        <v>0.77</v>
      </c>
      <c r="AA9" s="46">
        <v>0.71</v>
      </c>
      <c r="AB9" s="47">
        <v>0.6149</v>
      </c>
      <c r="AC9" s="47">
        <v>0.60270000000000001</v>
      </c>
      <c r="AD9" s="46">
        <v>0.88</v>
      </c>
      <c r="AE9" s="46">
        <v>0.88</v>
      </c>
      <c r="AF9" s="46">
        <v>0.87</v>
      </c>
      <c r="AG9" s="46">
        <v>0.79</v>
      </c>
      <c r="AH9" s="96">
        <v>0.63200000000000001</v>
      </c>
      <c r="AI9" s="96">
        <v>0.60599999999999998</v>
      </c>
      <c r="AJ9" s="47">
        <v>0.94799999999999995</v>
      </c>
      <c r="AK9" s="47">
        <v>0.94810000000000005</v>
      </c>
      <c r="AL9" s="46">
        <v>0.77</v>
      </c>
      <c r="AM9" s="46">
        <v>0.77</v>
      </c>
      <c r="AN9" s="49">
        <v>0.90810000000000002</v>
      </c>
      <c r="AO9" s="49">
        <v>0.88839999999999997</v>
      </c>
      <c r="AP9" s="46">
        <v>0.85</v>
      </c>
      <c r="AQ9" s="46">
        <v>0.85</v>
      </c>
      <c r="AR9" s="47">
        <v>0.78139999999999998</v>
      </c>
      <c r="AS9" s="47">
        <v>0.76870000000000005</v>
      </c>
      <c r="AT9" s="77">
        <v>0.42</v>
      </c>
      <c r="AU9" s="77">
        <v>0.46</v>
      </c>
      <c r="AV9" s="23">
        <v>0.76</v>
      </c>
      <c r="AW9" s="23">
        <v>0.76</v>
      </c>
      <c r="AX9" s="49">
        <v>0.74</v>
      </c>
      <c r="AY9" s="49">
        <v>0.69599999999999995</v>
      </c>
      <c r="AZ9" s="47">
        <v>0.4289</v>
      </c>
      <c r="BA9" s="47">
        <v>0.47349999999999998</v>
      </c>
      <c r="BB9" s="47">
        <v>0.93020000000000003</v>
      </c>
      <c r="BC9" s="47">
        <v>0.9294</v>
      </c>
      <c r="BD9" s="47">
        <v>0.7379</v>
      </c>
      <c r="BE9" s="47">
        <v>0.74250000000000005</v>
      </c>
      <c r="BF9" s="46">
        <v>0.7</v>
      </c>
      <c r="BG9" s="46">
        <v>0.65</v>
      </c>
      <c r="BH9" s="23">
        <v>84.14</v>
      </c>
      <c r="BI9" s="23">
        <v>82.55</v>
      </c>
      <c r="BJ9" s="36">
        <v>84.59</v>
      </c>
      <c r="BK9" s="36">
        <v>82.02</v>
      </c>
      <c r="BL9" s="47">
        <v>0.82640000000000002</v>
      </c>
      <c r="BM9" s="47">
        <v>0.80400000000000005</v>
      </c>
      <c r="BN9" s="47">
        <v>0.40350000000000003</v>
      </c>
      <c r="BO9" s="47">
        <v>0.49009999999999998</v>
      </c>
    </row>
    <row r="10" spans="1:67" x14ac:dyDescent="0.25">
      <c r="A10" s="15" t="s">
        <v>133</v>
      </c>
      <c r="B10" s="47">
        <v>-7.8200000000000006E-2</v>
      </c>
      <c r="C10" s="47">
        <v>-8.1600000000000006E-2</v>
      </c>
      <c r="D10" s="77">
        <v>7.0000000000000007E-2</v>
      </c>
      <c r="E10" s="46">
        <v>7.0000000000000007E-2</v>
      </c>
      <c r="F10" s="47">
        <v>-0.17499999999999999</v>
      </c>
      <c r="G10" s="47">
        <v>-3.4599999999999999E-2</v>
      </c>
      <c r="H10" s="47">
        <v>-1.7999999999999999E-2</v>
      </c>
      <c r="I10" s="47">
        <v>-1.4999999999999999E-2</v>
      </c>
      <c r="J10" s="46">
        <v>0.02</v>
      </c>
      <c r="K10" s="46">
        <v>0.04</v>
      </c>
      <c r="L10" s="47">
        <v>7.7000000000000002E-3</v>
      </c>
      <c r="M10" s="47">
        <v>1.0200000000000001E-2</v>
      </c>
      <c r="N10" s="47">
        <v>-2.8299999999999999E-2</v>
      </c>
      <c r="O10" s="47">
        <v>-3.3000000000000002E-2</v>
      </c>
      <c r="P10" s="46">
        <v>0.08</v>
      </c>
      <c r="Q10" s="46">
        <v>0.08</v>
      </c>
      <c r="R10" s="46">
        <v>0.04</v>
      </c>
      <c r="S10" s="46">
        <v>0.05</v>
      </c>
      <c r="T10" s="47">
        <v>4.0899999999999999E-2</v>
      </c>
      <c r="U10" s="47">
        <v>3.2000000000000001E-2</v>
      </c>
      <c r="V10" s="47">
        <v>-7.6300000000000007E-2</v>
      </c>
      <c r="W10" s="49">
        <v>-5.1799999999999999E-2</v>
      </c>
      <c r="X10" s="77">
        <v>0</v>
      </c>
      <c r="Y10" s="77">
        <v>0.03</v>
      </c>
      <c r="Z10" s="46">
        <v>7.0000000000000007E-2</v>
      </c>
      <c r="AA10" s="46">
        <v>0.06</v>
      </c>
      <c r="AB10" s="47">
        <v>4.6100000000000002E-2</v>
      </c>
      <c r="AC10" s="47">
        <v>4.7600000000000003E-2</v>
      </c>
      <c r="AD10" s="46">
        <v>7.0000000000000007E-2</v>
      </c>
      <c r="AE10" s="46">
        <v>7.0000000000000007E-2</v>
      </c>
      <c r="AF10" s="46">
        <v>0.1</v>
      </c>
      <c r="AG10" s="46">
        <v>0.1</v>
      </c>
      <c r="AH10" s="96">
        <v>-0.08</v>
      </c>
      <c r="AI10" s="96">
        <v>-7.6999999999999999E-2</v>
      </c>
      <c r="AJ10" s="47">
        <v>0.12230000000000001</v>
      </c>
      <c r="AK10" s="47">
        <v>0.1169</v>
      </c>
      <c r="AL10" s="46">
        <v>0.03</v>
      </c>
      <c r="AM10" s="46">
        <v>0.03</v>
      </c>
      <c r="AN10" s="49">
        <v>5.4600000000000003E-2</v>
      </c>
      <c r="AO10" s="49">
        <v>6.1400000000000003E-2</v>
      </c>
      <c r="AP10" s="46">
        <v>0.06</v>
      </c>
      <c r="AQ10" s="46">
        <v>0.06</v>
      </c>
      <c r="AR10" s="47">
        <v>0.1363</v>
      </c>
      <c r="AS10" s="47">
        <v>0.13589999999999999</v>
      </c>
      <c r="AT10" s="77">
        <v>-0.04</v>
      </c>
      <c r="AU10" s="77">
        <v>-0.02</v>
      </c>
      <c r="AV10" s="23">
        <v>-0.01</v>
      </c>
      <c r="AW10" s="23">
        <v>-0.01</v>
      </c>
      <c r="AX10" s="49">
        <v>4.3999999999999997E-2</v>
      </c>
      <c r="AY10" s="49">
        <v>6.7000000000000004E-2</v>
      </c>
      <c r="AZ10" s="47">
        <v>-0.12039999999999999</v>
      </c>
      <c r="BA10" s="47">
        <v>-7.2900000000000006E-2</v>
      </c>
      <c r="BB10" s="47">
        <v>5.8200000000000002E-2</v>
      </c>
      <c r="BC10" s="47">
        <v>5.6300000000000003E-2</v>
      </c>
      <c r="BD10" s="47">
        <v>0.10630000000000001</v>
      </c>
      <c r="BE10" s="47">
        <v>0.10290000000000001</v>
      </c>
      <c r="BF10" s="46">
        <v>0.03</v>
      </c>
      <c r="BG10" s="46">
        <v>0.03</v>
      </c>
      <c r="BH10" s="23">
        <v>9.0299999999999994</v>
      </c>
      <c r="BI10" s="23">
        <v>9.1199999999999992</v>
      </c>
      <c r="BJ10" s="36">
        <v>6.86</v>
      </c>
      <c r="BK10" s="36">
        <v>6.73</v>
      </c>
      <c r="BL10" s="47">
        <v>6.6900000000000001E-2</v>
      </c>
      <c r="BM10" s="47">
        <v>6.4100000000000004E-2</v>
      </c>
      <c r="BN10" s="47">
        <v>-7.7000000000000002E-3</v>
      </c>
      <c r="BO10" s="47">
        <v>2.6800000000000001E-2</v>
      </c>
    </row>
    <row r="11" spans="1:67" ht="30" x14ac:dyDescent="0.25">
      <c r="A11" s="15" t="s">
        <v>134</v>
      </c>
      <c r="B11" s="47">
        <v>0.54810000000000003</v>
      </c>
      <c r="C11" s="47">
        <v>0.54459999999999997</v>
      </c>
      <c r="D11" s="77">
        <v>0.64</v>
      </c>
      <c r="E11" s="46">
        <v>0.67</v>
      </c>
      <c r="F11" s="47">
        <v>1.8100000000000002E-2</v>
      </c>
      <c r="G11" s="47">
        <v>2.41E-2</v>
      </c>
      <c r="H11" s="47">
        <v>0.16900000000000001</v>
      </c>
      <c r="I11" s="47">
        <v>0.20200000000000001</v>
      </c>
      <c r="J11" s="46">
        <v>0.24</v>
      </c>
      <c r="K11" s="46">
        <v>0.28000000000000003</v>
      </c>
      <c r="L11" s="47">
        <v>0.32150000000000001</v>
      </c>
      <c r="M11" s="47">
        <v>0.33100000000000002</v>
      </c>
      <c r="N11" s="47">
        <v>0.2535</v>
      </c>
      <c r="O11" s="47">
        <v>0.25879999999999997</v>
      </c>
      <c r="P11" s="46">
        <v>0.61</v>
      </c>
      <c r="Q11" s="46">
        <v>0.69</v>
      </c>
      <c r="R11" s="46">
        <v>0.26</v>
      </c>
      <c r="S11" s="46">
        <v>0.28999999999999998</v>
      </c>
      <c r="T11" s="47">
        <v>0.34289999999999998</v>
      </c>
      <c r="U11" s="47">
        <v>0.3674</v>
      </c>
      <c r="V11" s="49">
        <v>0.16420000000000001</v>
      </c>
      <c r="W11" s="49">
        <v>0.2014</v>
      </c>
      <c r="X11" s="46">
        <v>0.27</v>
      </c>
      <c r="Y11" s="47">
        <v>0.31</v>
      </c>
      <c r="Z11" s="46">
        <v>0.3</v>
      </c>
      <c r="AA11" s="46">
        <v>0.28000000000000003</v>
      </c>
      <c r="AB11" s="47">
        <v>0.13239999999999999</v>
      </c>
      <c r="AC11" s="47">
        <v>0.1497</v>
      </c>
      <c r="AD11" s="46">
        <v>0.36</v>
      </c>
      <c r="AE11" s="46">
        <v>0.4</v>
      </c>
      <c r="AF11" s="46">
        <v>0.47</v>
      </c>
      <c r="AG11" s="46">
        <v>0.45</v>
      </c>
      <c r="AH11" s="96">
        <v>0.38100000000000001</v>
      </c>
      <c r="AI11" s="96">
        <v>0.378</v>
      </c>
      <c r="AJ11" s="47">
        <v>0.57350000000000001</v>
      </c>
      <c r="AK11" s="47">
        <v>0.5696</v>
      </c>
      <c r="AL11" s="46">
        <v>0.42</v>
      </c>
      <c r="AM11" s="46">
        <v>0.44</v>
      </c>
      <c r="AN11" s="47">
        <v>0.26469999999999999</v>
      </c>
      <c r="AO11" s="47">
        <v>0.2984</v>
      </c>
      <c r="AP11" s="46">
        <v>0.9</v>
      </c>
      <c r="AQ11" s="46">
        <v>1.2</v>
      </c>
      <c r="AR11" s="47">
        <v>0.55279999999999996</v>
      </c>
      <c r="AS11" s="47">
        <v>0.60960000000000003</v>
      </c>
      <c r="AT11" s="77">
        <v>0.17</v>
      </c>
      <c r="AU11" s="77">
        <v>0.2</v>
      </c>
      <c r="AV11" s="23">
        <v>0.41</v>
      </c>
      <c r="AW11" s="23">
        <v>0.42</v>
      </c>
      <c r="AX11" s="49">
        <v>0.26600000000000001</v>
      </c>
      <c r="AY11" s="49">
        <v>0.27700000000000002</v>
      </c>
      <c r="AZ11" s="47">
        <v>0.15390000000000001</v>
      </c>
      <c r="BA11" s="47">
        <v>0.1817</v>
      </c>
      <c r="BB11" s="47">
        <v>0.22189999999999999</v>
      </c>
      <c r="BC11" s="47">
        <v>0.22869999999999999</v>
      </c>
      <c r="BD11" s="47">
        <v>0.28070000000000001</v>
      </c>
      <c r="BE11" s="47">
        <v>0.29310000000000003</v>
      </c>
      <c r="BF11" s="46">
        <v>0.32</v>
      </c>
      <c r="BG11" s="46">
        <v>0.3</v>
      </c>
      <c r="BH11" s="23">
        <v>21.59</v>
      </c>
      <c r="BI11" s="23">
        <v>26.64</v>
      </c>
      <c r="BJ11" s="36">
        <v>22.65</v>
      </c>
      <c r="BK11" s="36">
        <v>30.25</v>
      </c>
      <c r="BL11" s="47">
        <v>0.29570000000000002</v>
      </c>
      <c r="BM11" s="47">
        <v>0.2823</v>
      </c>
      <c r="BN11" s="47">
        <v>0.1072</v>
      </c>
      <c r="BO11" s="47">
        <v>0.13400000000000001</v>
      </c>
    </row>
    <row r="12" spans="1:67" ht="30" x14ac:dyDescent="0.25">
      <c r="A12" s="15" t="s">
        <v>135</v>
      </c>
      <c r="B12" s="47">
        <v>1.0892999999999999</v>
      </c>
      <c r="C12" s="47">
        <v>1.0807</v>
      </c>
      <c r="D12" s="77"/>
      <c r="E12" s="46"/>
      <c r="F12" s="47">
        <v>0.1066</v>
      </c>
      <c r="G12" s="47">
        <v>4.7800000000000002E-2</v>
      </c>
      <c r="H12" s="47">
        <v>0.33600000000000002</v>
      </c>
      <c r="I12" s="47">
        <v>0.373</v>
      </c>
      <c r="J12" s="46">
        <v>0.5</v>
      </c>
      <c r="K12" s="46">
        <v>0.52</v>
      </c>
      <c r="L12" s="46"/>
      <c r="M12" s="46"/>
      <c r="N12" s="47">
        <v>0.30890000000000001</v>
      </c>
      <c r="O12" s="47">
        <v>0.3337</v>
      </c>
      <c r="P12" s="46">
        <v>0.68</v>
      </c>
      <c r="Q12" s="47">
        <v>0.79</v>
      </c>
      <c r="R12" s="46">
        <v>0.46</v>
      </c>
      <c r="S12" s="46">
        <v>0.48</v>
      </c>
      <c r="T12" s="47">
        <v>0.33090000000000003</v>
      </c>
      <c r="U12" s="47">
        <v>0.36699999999999999</v>
      </c>
      <c r="V12" s="49">
        <v>0.40710000000000002</v>
      </c>
      <c r="W12" s="49">
        <v>0.4536</v>
      </c>
      <c r="X12" s="46">
        <v>0.39</v>
      </c>
      <c r="Y12" s="46">
        <v>0.44</v>
      </c>
      <c r="Z12" s="46">
        <v>0.39</v>
      </c>
      <c r="AA12" s="46">
        <v>0.38</v>
      </c>
      <c r="AB12" s="47">
        <v>0.21299999999999999</v>
      </c>
      <c r="AC12" s="47">
        <v>0.2445</v>
      </c>
      <c r="AD12" s="46">
        <v>0.4</v>
      </c>
      <c r="AE12" s="46">
        <v>0.45</v>
      </c>
      <c r="AF12" s="46">
        <v>0.53</v>
      </c>
      <c r="AG12" s="46">
        <v>0.56999999999999995</v>
      </c>
      <c r="AH12" s="96">
        <v>0.57699999999999996</v>
      </c>
      <c r="AI12" s="96">
        <v>0.57799999999999996</v>
      </c>
      <c r="AJ12" s="46"/>
      <c r="AK12" s="46"/>
      <c r="AL12" s="46">
        <v>0.55000000000000004</v>
      </c>
      <c r="AM12" s="46">
        <v>0.57999999999999996</v>
      </c>
      <c r="AN12" s="47">
        <v>0.29060000000000002</v>
      </c>
      <c r="AO12" s="47">
        <v>0.33110000000000001</v>
      </c>
      <c r="AP12" s="46">
        <v>1.05</v>
      </c>
      <c r="AQ12" s="46">
        <v>1.39</v>
      </c>
      <c r="AR12" s="47">
        <v>0.66</v>
      </c>
      <c r="AS12" s="47">
        <v>0.7319</v>
      </c>
      <c r="AT12" s="77">
        <v>0.41</v>
      </c>
      <c r="AU12" s="77">
        <v>0.44</v>
      </c>
      <c r="AV12" s="23">
        <v>0.54</v>
      </c>
      <c r="AW12" s="23">
        <v>0.55000000000000004</v>
      </c>
      <c r="AX12" s="49">
        <v>0.35299999999999998</v>
      </c>
      <c r="AY12" s="49">
        <v>0.38700000000000001</v>
      </c>
      <c r="AZ12" s="47">
        <v>0.35859999999999997</v>
      </c>
      <c r="BA12" s="47">
        <v>0.37969999999999998</v>
      </c>
      <c r="BB12" s="47">
        <v>0.2379</v>
      </c>
      <c r="BC12" s="47">
        <v>0.2452</v>
      </c>
      <c r="BD12" s="47">
        <v>0.29299999999999998</v>
      </c>
      <c r="BE12" s="47">
        <v>0.30830000000000002</v>
      </c>
      <c r="BF12" s="46">
        <v>0.45</v>
      </c>
      <c r="BG12" s="46">
        <v>0.45</v>
      </c>
      <c r="BH12" s="23">
        <v>24.51</v>
      </c>
      <c r="BI12" s="23">
        <v>30.72</v>
      </c>
      <c r="BJ12" s="36">
        <v>26.17</v>
      </c>
      <c r="BK12" s="36">
        <v>36.119999999999997</v>
      </c>
      <c r="BL12" s="46"/>
      <c r="BM12" s="46"/>
      <c r="BN12" s="47">
        <v>0.26540000000000002</v>
      </c>
      <c r="BO12" s="47">
        <v>0.27310000000000001</v>
      </c>
    </row>
    <row r="13" spans="1:67" ht="15" customHeight="1" x14ac:dyDescent="0.25">
      <c r="A13" s="15" t="s">
        <v>136</v>
      </c>
      <c r="B13" s="47">
        <v>0.55430000000000001</v>
      </c>
      <c r="C13" s="47">
        <v>0.67969999999999997</v>
      </c>
      <c r="D13" s="77"/>
      <c r="E13" s="46"/>
      <c r="F13" s="47">
        <v>1.3334999999999999</v>
      </c>
      <c r="G13" s="47">
        <v>0.84919999999999995</v>
      </c>
      <c r="H13" s="47">
        <v>0.74199999999999999</v>
      </c>
      <c r="I13" s="47">
        <v>0.71299999999999997</v>
      </c>
      <c r="J13" s="46">
        <v>0.65</v>
      </c>
      <c r="K13" s="46">
        <v>0.66</v>
      </c>
      <c r="L13" s="46"/>
      <c r="M13" s="46"/>
      <c r="N13" s="47">
        <v>1.6205000000000001</v>
      </c>
      <c r="O13" s="47">
        <v>1.9520999999999999</v>
      </c>
      <c r="P13" s="46">
        <v>0.93</v>
      </c>
      <c r="Q13" s="47">
        <v>0.97</v>
      </c>
      <c r="R13" s="46">
        <v>0.69</v>
      </c>
      <c r="S13" s="46">
        <v>0.67</v>
      </c>
      <c r="T13" s="47">
        <v>0.72009999999999996</v>
      </c>
      <c r="U13" s="47">
        <v>0.70389999999999997</v>
      </c>
      <c r="V13" s="49">
        <v>0.79259999999999997</v>
      </c>
      <c r="W13" s="49">
        <v>0.77449999999999997</v>
      </c>
      <c r="X13" s="46">
        <v>0.88</v>
      </c>
      <c r="Y13" s="46">
        <v>0.93</v>
      </c>
      <c r="Z13" s="46">
        <v>0.67</v>
      </c>
      <c r="AA13" s="46">
        <v>0.68</v>
      </c>
      <c r="AB13" s="47">
        <v>0.84960000000000002</v>
      </c>
      <c r="AC13" s="47">
        <v>0.81969999999999998</v>
      </c>
      <c r="AD13" s="46">
        <v>0.65</v>
      </c>
      <c r="AE13" s="46">
        <v>0.6</v>
      </c>
      <c r="AF13" s="46">
        <v>0.66</v>
      </c>
      <c r="AG13" s="46">
        <v>0.55000000000000004</v>
      </c>
      <c r="AH13" s="96">
        <v>0.79200000000000004</v>
      </c>
      <c r="AI13" s="96">
        <v>0.81499999999999995</v>
      </c>
      <c r="AJ13" s="46"/>
      <c r="AK13" s="46"/>
      <c r="AL13" s="46">
        <v>0.57999999999999996</v>
      </c>
      <c r="AM13" s="46">
        <v>0.55000000000000004</v>
      </c>
      <c r="AN13" s="47">
        <v>0.75429999999999997</v>
      </c>
      <c r="AO13" s="47">
        <v>0.71160000000000001</v>
      </c>
      <c r="AP13" s="46">
        <v>0.6</v>
      </c>
      <c r="AQ13" s="46">
        <v>0.64</v>
      </c>
      <c r="AR13" s="47">
        <v>0.89759999999999995</v>
      </c>
      <c r="AS13" s="47">
        <v>0.91220000000000001</v>
      </c>
      <c r="AT13" s="77">
        <v>0.82</v>
      </c>
      <c r="AU13" s="77">
        <v>0.78</v>
      </c>
      <c r="AV13" s="23">
        <v>0.65</v>
      </c>
      <c r="AW13" s="23">
        <v>0.6</v>
      </c>
      <c r="AX13" s="49">
        <v>0.79500000000000004</v>
      </c>
      <c r="AY13" s="49">
        <v>0.73099999999999998</v>
      </c>
      <c r="AZ13" s="47">
        <v>0.81210000000000004</v>
      </c>
      <c r="BA13" s="47">
        <v>0.78710000000000002</v>
      </c>
      <c r="BB13" s="47">
        <v>0.76459999999999995</v>
      </c>
      <c r="BC13" s="47">
        <v>0.76459999999999995</v>
      </c>
      <c r="BD13" s="47">
        <v>0.73640000000000005</v>
      </c>
      <c r="BE13" s="47">
        <v>0.64259999999999995</v>
      </c>
      <c r="BF13" s="46">
        <v>0.72</v>
      </c>
      <c r="BG13" s="46">
        <v>0.69</v>
      </c>
      <c r="BH13" s="23">
        <v>84.31</v>
      </c>
      <c r="BI13" s="23">
        <v>75.69</v>
      </c>
      <c r="BJ13" s="36">
        <v>98.45</v>
      </c>
      <c r="BK13" s="36">
        <v>83.15</v>
      </c>
      <c r="BL13" s="46"/>
      <c r="BM13" s="46"/>
      <c r="BN13" s="47">
        <v>0.83550000000000002</v>
      </c>
      <c r="BO13" s="47">
        <v>0.8105</v>
      </c>
    </row>
    <row r="14" spans="1:67" ht="15" customHeight="1" x14ac:dyDescent="0.25">
      <c r="A14" s="15" t="s">
        <v>137</v>
      </c>
      <c r="B14" s="47">
        <v>1.5241</v>
      </c>
      <c r="C14" s="47">
        <v>1.6409</v>
      </c>
      <c r="D14" s="77">
        <v>1.26</v>
      </c>
      <c r="E14" s="46">
        <v>1.29</v>
      </c>
      <c r="F14" s="47">
        <v>1.2527999999999999</v>
      </c>
      <c r="G14" s="47">
        <v>0.85929999999999995</v>
      </c>
      <c r="H14" s="47">
        <v>0.97399999999999998</v>
      </c>
      <c r="I14" s="47">
        <v>0.97</v>
      </c>
      <c r="J14" s="46">
        <v>1.07</v>
      </c>
      <c r="K14" s="46">
        <v>1.1000000000000001</v>
      </c>
      <c r="L14" s="47">
        <v>1.0468999999999999</v>
      </c>
      <c r="M14" s="47">
        <v>1.0275000000000001</v>
      </c>
      <c r="N14" s="47">
        <v>1.8938999999999999</v>
      </c>
      <c r="O14" s="47">
        <v>2.2462</v>
      </c>
      <c r="P14" s="46">
        <v>1.59</v>
      </c>
      <c r="Q14" s="46">
        <v>1.73</v>
      </c>
      <c r="R14" s="46">
        <v>1.1000000000000001</v>
      </c>
      <c r="S14" s="46">
        <v>1.1000000000000001</v>
      </c>
      <c r="T14" s="47">
        <v>1.0409999999999999</v>
      </c>
      <c r="U14" s="47">
        <v>1.0503</v>
      </c>
      <c r="V14" s="49">
        <v>0.995</v>
      </c>
      <c r="W14" s="49">
        <v>1.0299</v>
      </c>
      <c r="X14" s="46">
        <v>1.07</v>
      </c>
      <c r="Y14" s="47">
        <v>1.2</v>
      </c>
      <c r="Z14" s="46">
        <v>1</v>
      </c>
      <c r="AA14" s="46">
        <v>1</v>
      </c>
      <c r="AB14" s="47">
        <v>1.0054000000000001</v>
      </c>
      <c r="AC14" s="47">
        <v>0.99590000000000001</v>
      </c>
      <c r="AD14" s="46">
        <v>1.02</v>
      </c>
      <c r="AE14" s="46">
        <v>1.03</v>
      </c>
      <c r="AF14" s="46">
        <v>1.17</v>
      </c>
      <c r="AG14" s="46">
        <v>1.0900000000000001</v>
      </c>
      <c r="AH14" s="96">
        <v>1.1930000000000001</v>
      </c>
      <c r="AI14" s="96">
        <v>1.218</v>
      </c>
      <c r="AJ14" s="47">
        <v>1.3367</v>
      </c>
      <c r="AK14" s="47">
        <v>1.1444000000000001</v>
      </c>
      <c r="AL14" s="46">
        <v>1</v>
      </c>
      <c r="AM14" s="46">
        <v>1</v>
      </c>
      <c r="AN14" s="47">
        <v>1.0375000000000001</v>
      </c>
      <c r="AO14" s="47">
        <v>1.0339</v>
      </c>
      <c r="AP14" s="46">
        <v>1.6</v>
      </c>
      <c r="AQ14" s="46">
        <v>2</v>
      </c>
      <c r="AR14" s="47">
        <v>1.5397000000000001</v>
      </c>
      <c r="AS14" s="47">
        <v>1.6282000000000001</v>
      </c>
      <c r="AT14" s="77">
        <v>1.1100000000000001</v>
      </c>
      <c r="AU14" s="77">
        <v>1.1100000000000001</v>
      </c>
      <c r="AV14" s="23">
        <v>1.01</v>
      </c>
      <c r="AW14" s="23">
        <v>0.97</v>
      </c>
      <c r="AX14" s="49">
        <v>1.048</v>
      </c>
      <c r="AY14" s="49">
        <v>1.0309999999999999</v>
      </c>
      <c r="AZ14" s="47">
        <v>0.92959999999999998</v>
      </c>
      <c r="BA14" s="47">
        <v>0.96679999999999999</v>
      </c>
      <c r="BB14" s="47">
        <v>1.1034999999999999</v>
      </c>
      <c r="BC14" s="47">
        <v>1.0042</v>
      </c>
      <c r="BD14" s="47">
        <v>1.0294000000000001</v>
      </c>
      <c r="BE14" s="47">
        <v>0.95099999999999996</v>
      </c>
      <c r="BF14" s="46">
        <v>1.07</v>
      </c>
      <c r="BG14" s="46">
        <v>1.03</v>
      </c>
      <c r="BH14" s="23">
        <v>108.36</v>
      </c>
      <c r="BI14" s="23">
        <v>105.75</v>
      </c>
      <c r="BJ14" s="46">
        <v>123.49</v>
      </c>
      <c r="BK14" s="46">
        <v>117.79</v>
      </c>
      <c r="BL14" s="47">
        <v>1.3525</v>
      </c>
      <c r="BM14" s="47">
        <v>1.1648000000000001</v>
      </c>
      <c r="BN14" s="47">
        <v>1.0001</v>
      </c>
      <c r="BO14" s="47">
        <v>1.0045999999999999</v>
      </c>
    </row>
    <row r="15" spans="1:67" ht="15" customHeight="1" x14ac:dyDescent="0.25">
      <c r="A15" s="15" t="s">
        <v>138</v>
      </c>
      <c r="B15" s="36">
        <v>3.66</v>
      </c>
      <c r="C15" s="23">
        <v>2.2799999999999998</v>
      </c>
      <c r="D15" s="77">
        <v>2.4900000000000002</v>
      </c>
      <c r="E15" s="77">
        <v>1.37</v>
      </c>
      <c r="F15" s="23">
        <v>0.99</v>
      </c>
      <c r="G15" s="23">
        <v>1.72</v>
      </c>
      <c r="H15" s="36">
        <v>6.81</v>
      </c>
      <c r="I15" s="36">
        <v>3.56</v>
      </c>
      <c r="J15" s="36">
        <v>7.15</v>
      </c>
      <c r="K15" s="36">
        <v>4.24</v>
      </c>
      <c r="L15" s="48">
        <v>-6.7</v>
      </c>
      <c r="M15" s="36">
        <v>5.51</v>
      </c>
      <c r="N15" s="36">
        <v>21.85</v>
      </c>
      <c r="O15" s="36">
        <v>21.85</v>
      </c>
      <c r="P15" s="23">
        <v>4.3</v>
      </c>
      <c r="Q15" s="23">
        <v>2.71</v>
      </c>
      <c r="R15" s="36">
        <v>6.72</v>
      </c>
      <c r="S15" s="36">
        <v>3.77</v>
      </c>
      <c r="T15" s="36"/>
      <c r="U15" s="23">
        <v>2.4500000000000002</v>
      </c>
      <c r="V15" s="36">
        <v>3.9</v>
      </c>
      <c r="W15" s="36">
        <v>3.9</v>
      </c>
      <c r="X15" s="36">
        <v>3.37</v>
      </c>
      <c r="Y15" s="36">
        <v>1.9</v>
      </c>
      <c r="Z15" s="23">
        <v>9.7799999999999994</v>
      </c>
      <c r="AA15" s="23">
        <v>5.18</v>
      </c>
      <c r="AB15" s="36"/>
      <c r="AC15" s="36">
        <v>3.28</v>
      </c>
      <c r="AD15" s="36">
        <v>4.8099999999999996</v>
      </c>
      <c r="AE15" s="23">
        <v>2.81</v>
      </c>
      <c r="AF15" s="36">
        <v>5.2</v>
      </c>
      <c r="AG15" s="36">
        <v>2.63</v>
      </c>
      <c r="AH15" s="36">
        <v>9.3000000000000007</v>
      </c>
      <c r="AI15" s="36">
        <v>5.48</v>
      </c>
      <c r="AJ15" s="47">
        <v>2.2814000000000001</v>
      </c>
      <c r="AK15" s="47">
        <v>1.2896000000000001</v>
      </c>
      <c r="AL15" s="97" t="s">
        <v>310</v>
      </c>
      <c r="AM15" s="97" t="s">
        <v>313</v>
      </c>
      <c r="AN15" s="23">
        <v>6.16</v>
      </c>
      <c r="AO15" s="23">
        <v>3.84</v>
      </c>
      <c r="AP15" s="36">
        <v>11.26</v>
      </c>
      <c r="AQ15" s="36">
        <v>8.16</v>
      </c>
      <c r="AR15" s="36">
        <v>8.15</v>
      </c>
      <c r="AS15" s="36">
        <v>4.92</v>
      </c>
      <c r="AT15" s="36">
        <v>7.78</v>
      </c>
      <c r="AU15" s="36">
        <v>4.16</v>
      </c>
      <c r="AV15" s="23">
        <v>2.6</v>
      </c>
      <c r="AW15" s="23">
        <v>1.49</v>
      </c>
      <c r="AX15" s="23">
        <v>5.44</v>
      </c>
      <c r="AY15" s="23">
        <v>5.44</v>
      </c>
      <c r="AZ15" s="36">
        <v>5.58</v>
      </c>
      <c r="BA15" s="36">
        <v>3.34</v>
      </c>
      <c r="BB15" s="47">
        <v>15.472300000000001</v>
      </c>
      <c r="BC15" s="47">
        <v>8.4625000000000004</v>
      </c>
      <c r="BD15" s="47">
        <v>2.2227000000000001</v>
      </c>
      <c r="BE15" s="47">
        <v>1.3496999999999999</v>
      </c>
      <c r="BF15" s="36">
        <v>6.44</v>
      </c>
      <c r="BG15" s="36">
        <v>3.6</v>
      </c>
      <c r="BH15" s="23">
        <v>6.3</v>
      </c>
      <c r="BI15" s="23">
        <v>3.09</v>
      </c>
      <c r="BJ15" s="36">
        <v>6.68</v>
      </c>
      <c r="BK15" s="36">
        <v>3.83</v>
      </c>
      <c r="BL15" s="47">
        <v>0.2366</v>
      </c>
      <c r="BM15" s="47">
        <v>4.7419000000000002</v>
      </c>
      <c r="BN15" s="23">
        <v>2.39</v>
      </c>
      <c r="BO15" s="23">
        <v>3.43</v>
      </c>
    </row>
    <row r="16" spans="1:67" x14ac:dyDescent="0.25">
      <c r="A16" s="15" t="s">
        <v>139</v>
      </c>
      <c r="B16" s="36">
        <v>-0.73</v>
      </c>
      <c r="C16" s="23">
        <v>-0.76</v>
      </c>
      <c r="D16" s="77">
        <v>-0.46</v>
      </c>
      <c r="E16" s="77">
        <v>-0.47</v>
      </c>
      <c r="F16" s="23">
        <v>-0.26</v>
      </c>
      <c r="G16" s="23">
        <v>4.0000000000000001E-3</v>
      </c>
      <c r="H16" s="36">
        <v>0.01</v>
      </c>
      <c r="I16" s="36">
        <v>0.05</v>
      </c>
      <c r="J16" s="36">
        <v>-0.1</v>
      </c>
      <c r="K16" s="36">
        <v>-0.08</v>
      </c>
      <c r="L16" s="50">
        <v>-0.06</v>
      </c>
      <c r="M16" s="36">
        <v>0</v>
      </c>
      <c r="N16" s="103">
        <v>-1.0495000000000001</v>
      </c>
      <c r="O16" s="47">
        <v>-1.1241000000000001</v>
      </c>
      <c r="P16" s="23">
        <v>-0.78</v>
      </c>
      <c r="Q16" s="23">
        <v>-0.8</v>
      </c>
      <c r="R16" s="36">
        <v>-0.11</v>
      </c>
      <c r="S16" s="36">
        <v>-0.08</v>
      </c>
      <c r="T16" s="36">
        <v>-0.15</v>
      </c>
      <c r="U16" s="23">
        <v>-0.11</v>
      </c>
      <c r="V16" s="50">
        <v>-0.02</v>
      </c>
      <c r="W16" s="50">
        <v>-0.02</v>
      </c>
      <c r="X16" s="36">
        <v>-0.04</v>
      </c>
      <c r="Y16" s="36">
        <v>-0.21</v>
      </c>
      <c r="Z16" s="23">
        <v>0</v>
      </c>
      <c r="AA16" s="23">
        <v>0.01</v>
      </c>
      <c r="AB16" s="47">
        <v>-4.3200000000000002E-2</v>
      </c>
      <c r="AC16" s="47">
        <v>-1.8800000000000001E-2</v>
      </c>
      <c r="AD16" s="36">
        <v>-0.12</v>
      </c>
      <c r="AE16" s="23">
        <v>-0.09</v>
      </c>
      <c r="AF16" s="23">
        <v>-0.13</v>
      </c>
      <c r="AG16" s="23">
        <v>0.01</v>
      </c>
      <c r="AH16" s="36">
        <v>-0.21</v>
      </c>
      <c r="AI16" s="36">
        <v>-0.17</v>
      </c>
      <c r="AJ16" s="47">
        <v>-0.4486</v>
      </c>
      <c r="AK16" s="47">
        <v>-0.22159999999999999</v>
      </c>
      <c r="AL16" s="97" t="s">
        <v>311</v>
      </c>
      <c r="AM16" s="97" t="s">
        <v>314</v>
      </c>
      <c r="AN16" s="23">
        <v>-0.11</v>
      </c>
      <c r="AO16" s="23">
        <v>-0.08</v>
      </c>
      <c r="AP16" s="36">
        <v>-0.42</v>
      </c>
      <c r="AQ16" s="36">
        <v>-2.5099999999999998</v>
      </c>
      <c r="AR16" s="36">
        <v>-0.65</v>
      </c>
      <c r="AS16" s="36">
        <v>-0.64</v>
      </c>
      <c r="AT16" s="36">
        <v>-0.14000000000000001</v>
      </c>
      <c r="AU16" s="36">
        <v>-0.16</v>
      </c>
      <c r="AV16" s="23">
        <v>-0.08</v>
      </c>
      <c r="AW16" s="23">
        <v>-0.06</v>
      </c>
      <c r="AX16" s="23">
        <v>0.18</v>
      </c>
      <c r="AY16" s="23">
        <v>0.02</v>
      </c>
      <c r="AZ16" s="36">
        <v>0.05</v>
      </c>
      <c r="BA16" s="36">
        <v>0.03</v>
      </c>
      <c r="BB16" s="47">
        <v>-8.9300000000000004E-2</v>
      </c>
      <c r="BC16" s="47">
        <v>3.2300000000000002E-2</v>
      </c>
      <c r="BD16" s="47">
        <v>-8.9300000000000004E-2</v>
      </c>
      <c r="BE16" s="47">
        <v>1.1999999999999999E-3</v>
      </c>
      <c r="BF16" s="36">
        <v>-0.14000000000000001</v>
      </c>
      <c r="BG16" s="36">
        <v>-0.06</v>
      </c>
      <c r="BH16" s="23">
        <v>-0.08</v>
      </c>
      <c r="BI16" s="23">
        <v>-0.08</v>
      </c>
      <c r="BJ16" s="36">
        <v>-0.26</v>
      </c>
      <c r="BK16" s="36">
        <v>-0.19</v>
      </c>
      <c r="BL16" s="47">
        <v>-0.35049999999999998</v>
      </c>
      <c r="BM16" s="47">
        <v>-0.16259999999999999</v>
      </c>
      <c r="BN16" s="23">
        <v>0</v>
      </c>
      <c r="BO16" s="23">
        <v>0</v>
      </c>
    </row>
    <row r="17" spans="1:67" x14ac:dyDescent="0.25">
      <c r="A17" s="15" t="s">
        <v>140</v>
      </c>
      <c r="B17" s="47">
        <v>-0.62260000000000004</v>
      </c>
      <c r="C17" s="47">
        <v>-0.6119</v>
      </c>
      <c r="D17" s="77">
        <v>-0.38</v>
      </c>
      <c r="E17" s="46">
        <v>-0.4</v>
      </c>
      <c r="F17" s="47">
        <v>-0.36080000000000001</v>
      </c>
      <c r="G17" s="47">
        <v>8.5199999999999998E-2</v>
      </c>
      <c r="H17" s="47">
        <v>0.17</v>
      </c>
      <c r="I17" s="47">
        <v>0.21299999999999999</v>
      </c>
      <c r="J17" s="46">
        <v>0.11</v>
      </c>
      <c r="K17" s="46">
        <v>0.12</v>
      </c>
      <c r="L17" s="47">
        <v>0.1807</v>
      </c>
      <c r="M17" s="47">
        <v>0.24690000000000001</v>
      </c>
      <c r="N17" s="47">
        <v>-0.4168</v>
      </c>
      <c r="O17" s="47">
        <v>-0.39090000000000003</v>
      </c>
      <c r="P17" s="46">
        <v>-0.59</v>
      </c>
      <c r="Q17" s="46">
        <v>-0.63</v>
      </c>
      <c r="R17" s="46">
        <v>0.04</v>
      </c>
      <c r="S17" s="46">
        <v>7.0000000000000007E-2</v>
      </c>
      <c r="T17" s="47">
        <v>-1.3299999999999999E-2</v>
      </c>
      <c r="U17" s="47">
        <v>2.63E-2</v>
      </c>
      <c r="V17" s="49">
        <v>0.1472</v>
      </c>
      <c r="W17" s="49">
        <v>0.1575</v>
      </c>
      <c r="X17" s="46">
        <v>0.03</v>
      </c>
      <c r="Y17" s="47">
        <v>-0.12</v>
      </c>
      <c r="Z17" s="46">
        <v>0.17</v>
      </c>
      <c r="AA17" s="46">
        <v>0.18</v>
      </c>
      <c r="AB17" s="47">
        <v>9.7000000000000003E-2</v>
      </c>
      <c r="AC17" s="47">
        <v>0.1183</v>
      </c>
      <c r="AD17" s="46">
        <v>0.03</v>
      </c>
      <c r="AE17" s="46">
        <v>0.06</v>
      </c>
      <c r="AF17" s="23">
        <v>0</v>
      </c>
      <c r="AG17" s="46">
        <v>0.13</v>
      </c>
      <c r="AH17" s="96">
        <v>0.09</v>
      </c>
      <c r="AI17" s="96">
        <v>9.5000000000000001E-2</v>
      </c>
      <c r="AJ17" s="47">
        <v>-0.51359999999999995</v>
      </c>
      <c r="AK17" s="47">
        <v>-0.2341</v>
      </c>
      <c r="AL17" s="46">
        <v>0.08</v>
      </c>
      <c r="AM17" s="46">
        <v>0.12</v>
      </c>
      <c r="AN17" s="47">
        <v>0.12</v>
      </c>
      <c r="AO17" s="47">
        <v>0.13020000000000001</v>
      </c>
      <c r="AP17" s="46">
        <v>-3.69</v>
      </c>
      <c r="AQ17" s="46">
        <v>-2.34</v>
      </c>
      <c r="AR17" s="47">
        <v>-0.23710000000000001</v>
      </c>
      <c r="AS17" s="47">
        <v>-0.18190000000000001</v>
      </c>
      <c r="AT17" s="77">
        <v>0.12</v>
      </c>
      <c r="AU17" s="77">
        <v>0.12</v>
      </c>
      <c r="AV17" s="23">
        <v>-0.02</v>
      </c>
      <c r="AW17" s="23">
        <v>0.01</v>
      </c>
      <c r="AX17" s="49">
        <v>0.41199999999999998</v>
      </c>
      <c r="AY17" s="49">
        <v>0.20200000000000001</v>
      </c>
      <c r="AZ17" s="47">
        <v>0.18490000000000001</v>
      </c>
      <c r="BA17" s="47">
        <v>0.18490000000000001</v>
      </c>
      <c r="BB17" s="47">
        <v>0.21249999999999999</v>
      </c>
      <c r="BC17" s="47">
        <v>0.33710000000000001</v>
      </c>
      <c r="BD17" s="47">
        <v>-4.5600000000000002E-2</v>
      </c>
      <c r="BE17" s="47">
        <v>4.7199999999999999E-2</v>
      </c>
      <c r="BF17" s="46">
        <v>0.08</v>
      </c>
      <c r="BG17" s="46">
        <v>0.14000000000000001</v>
      </c>
      <c r="BH17" s="23">
        <v>5.92</v>
      </c>
      <c r="BI17" s="23">
        <v>4.6399999999999997</v>
      </c>
      <c r="BJ17" s="36">
        <v>-2.0499999999999998</v>
      </c>
      <c r="BK17" s="36">
        <v>-0.19</v>
      </c>
      <c r="BL17" s="47">
        <v>-0.13900000000000001</v>
      </c>
      <c r="BM17" s="47">
        <v>1.6799999999999999E-2</v>
      </c>
      <c r="BN17" s="47">
        <v>0.1087</v>
      </c>
      <c r="BO17" s="47">
        <v>0.1215</v>
      </c>
    </row>
    <row r="18" spans="1:67" x14ac:dyDescent="0.25">
      <c r="A18" s="15" t="s">
        <v>141</v>
      </c>
      <c r="B18" s="36">
        <v>0.24</v>
      </c>
      <c r="C18" s="23">
        <v>0.24</v>
      </c>
      <c r="D18" s="77">
        <v>0.1</v>
      </c>
      <c r="E18" s="77">
        <v>0.1</v>
      </c>
      <c r="F18" s="23">
        <v>6.39</v>
      </c>
      <c r="G18" s="23">
        <v>1.5</v>
      </c>
      <c r="H18" s="36">
        <v>0.14000000000000001</v>
      </c>
      <c r="I18" s="36">
        <v>0.14000000000000001</v>
      </c>
      <c r="J18" s="36">
        <v>0.19</v>
      </c>
      <c r="K18" s="36">
        <v>0.19</v>
      </c>
      <c r="L18" s="48">
        <v>7.0000000000000007E-2</v>
      </c>
      <c r="M18" s="36">
        <v>0.19</v>
      </c>
      <c r="N18" s="23">
        <v>0.31</v>
      </c>
      <c r="O18" s="36">
        <v>0.34</v>
      </c>
      <c r="P18" s="23">
        <v>0.06</v>
      </c>
      <c r="Q18" s="23">
        <v>0.06</v>
      </c>
      <c r="R18" s="36">
        <v>0.1</v>
      </c>
      <c r="S18" s="36">
        <v>0.1</v>
      </c>
      <c r="T18" s="36"/>
      <c r="U18" s="47">
        <v>0.2051</v>
      </c>
      <c r="V18" s="36">
        <v>0.21</v>
      </c>
      <c r="W18" s="36">
        <v>0.21</v>
      </c>
      <c r="X18" s="36">
        <v>0.43</v>
      </c>
      <c r="Y18" s="36">
        <v>0.4</v>
      </c>
      <c r="Z18" s="23">
        <v>0.13</v>
      </c>
      <c r="AA18" s="23">
        <v>0.13</v>
      </c>
      <c r="AB18" s="36"/>
      <c r="AC18" s="36">
        <v>0.24</v>
      </c>
      <c r="AD18" s="36">
        <v>0.18</v>
      </c>
      <c r="AE18" s="23">
        <v>0.18</v>
      </c>
      <c r="AF18" s="23">
        <v>0.14000000000000001</v>
      </c>
      <c r="AG18" s="23">
        <v>0.14000000000000001</v>
      </c>
      <c r="AH18" s="36">
        <v>0.15</v>
      </c>
      <c r="AI18" s="36">
        <v>0.15</v>
      </c>
      <c r="AJ18" s="47">
        <v>0.50729999999999997</v>
      </c>
      <c r="AK18" s="47">
        <v>0.50729999999999997</v>
      </c>
      <c r="AL18" s="97" t="s">
        <v>312</v>
      </c>
      <c r="AM18" s="97" t="s">
        <v>312</v>
      </c>
      <c r="AN18" s="23">
        <v>0.18</v>
      </c>
      <c r="AO18" s="23">
        <v>0.18</v>
      </c>
      <c r="AP18" s="36">
        <v>0.24</v>
      </c>
      <c r="AQ18" s="36">
        <v>0.24</v>
      </c>
      <c r="AR18" s="36">
        <v>0.42</v>
      </c>
      <c r="AS18" s="36">
        <v>0.42</v>
      </c>
      <c r="AT18" s="36">
        <v>0.24</v>
      </c>
      <c r="AU18" s="36">
        <v>0.24</v>
      </c>
      <c r="AV18" s="23">
        <v>0.28000000000000003</v>
      </c>
      <c r="AW18" s="23">
        <v>0.28000000000000003</v>
      </c>
      <c r="AX18" s="23">
        <v>0.25</v>
      </c>
      <c r="AY18" s="23">
        <v>0.26</v>
      </c>
      <c r="AZ18" s="36">
        <v>0.13</v>
      </c>
      <c r="BA18" s="36">
        <v>0.13</v>
      </c>
      <c r="BB18" s="47">
        <v>2.6499999999999999E-2</v>
      </c>
      <c r="BC18" s="47">
        <v>2.6499999999999999E-2</v>
      </c>
      <c r="BD18" s="47">
        <v>0.28360000000000002</v>
      </c>
      <c r="BE18" s="47">
        <v>0.28360000000000002</v>
      </c>
      <c r="BF18" s="36">
        <v>0.25</v>
      </c>
      <c r="BG18" s="36">
        <v>0.25</v>
      </c>
      <c r="BH18" s="23">
        <v>0.33</v>
      </c>
      <c r="BI18" s="23">
        <v>0.33</v>
      </c>
      <c r="BJ18" s="36">
        <v>0.23</v>
      </c>
      <c r="BK18" s="36">
        <v>0.23</v>
      </c>
      <c r="BL18" s="36"/>
      <c r="BM18" s="47">
        <v>0.18129999999999999</v>
      </c>
      <c r="BN18" s="23">
        <v>0.3</v>
      </c>
      <c r="BO18" s="23">
        <v>0.3</v>
      </c>
    </row>
    <row r="19" spans="1:67" x14ac:dyDescent="0.25">
      <c r="A19" s="15" t="s">
        <v>142</v>
      </c>
      <c r="B19" s="47">
        <v>-0.40789999999999998</v>
      </c>
      <c r="C19" s="47">
        <v>-0.42670000000000002</v>
      </c>
      <c r="D19" s="77">
        <v>-0.28999999999999998</v>
      </c>
      <c r="E19" s="46">
        <v>-0.3</v>
      </c>
      <c r="F19" s="47">
        <v>-0.42499999999999999</v>
      </c>
      <c r="G19" s="47">
        <v>5.5999999999999999E-3</v>
      </c>
      <c r="H19" s="47">
        <v>0.159</v>
      </c>
      <c r="I19" s="47">
        <v>0.21</v>
      </c>
      <c r="J19" s="46">
        <v>0.11</v>
      </c>
      <c r="K19" s="46">
        <v>0.11</v>
      </c>
      <c r="L19" s="47">
        <v>0.1129</v>
      </c>
      <c r="M19" s="47">
        <v>0.13689999999999999</v>
      </c>
      <c r="N19" s="47">
        <v>3.1199999999999999E-2</v>
      </c>
      <c r="O19" s="47">
        <v>0.1157</v>
      </c>
      <c r="P19" s="46">
        <v>-0.53</v>
      </c>
      <c r="Q19" s="46">
        <v>-0.6</v>
      </c>
      <c r="R19" s="46">
        <v>0.05</v>
      </c>
      <c r="S19" s="46">
        <v>7.0000000000000007E-2</v>
      </c>
      <c r="T19" s="47">
        <v>1.6400000000000001E-2</v>
      </c>
      <c r="U19" s="47">
        <v>5.6000000000000001E-2</v>
      </c>
      <c r="V19" s="49">
        <v>0.10589999999999999</v>
      </c>
      <c r="W19" s="49">
        <v>0.12970000000000001</v>
      </c>
      <c r="X19" s="46">
        <v>0.05</v>
      </c>
      <c r="Y19" s="47">
        <v>-0.11</v>
      </c>
      <c r="Z19" s="46">
        <v>0.17</v>
      </c>
      <c r="AA19" s="46">
        <v>0.17</v>
      </c>
      <c r="AB19" s="47">
        <v>7.5899999999999995E-2</v>
      </c>
      <c r="AC19" s="47">
        <v>0.1052</v>
      </c>
      <c r="AD19" s="46">
        <v>0.06</v>
      </c>
      <c r="AE19" s="46">
        <v>0.1</v>
      </c>
      <c r="AF19" s="46">
        <v>0.05</v>
      </c>
      <c r="AG19" s="46">
        <v>0.18</v>
      </c>
      <c r="AH19" s="96">
        <v>5.1999999999999998E-2</v>
      </c>
      <c r="AI19" s="96">
        <v>6.2E-2</v>
      </c>
      <c r="AJ19" s="47">
        <v>-0.33660000000000001</v>
      </c>
      <c r="AK19" s="47">
        <v>-0.1409</v>
      </c>
      <c r="AL19" s="46">
        <v>-0.02</v>
      </c>
      <c r="AM19" s="46">
        <v>4.7999999999999996E-3</v>
      </c>
      <c r="AN19" s="47">
        <v>3.9100000000000003E-2</v>
      </c>
      <c r="AO19" s="47">
        <v>7.6200000000000004E-2</v>
      </c>
      <c r="AP19" s="46">
        <v>-4.12</v>
      </c>
      <c r="AQ19" s="46">
        <v>-3.2</v>
      </c>
      <c r="AR19" s="47">
        <v>-0.36609999999999998</v>
      </c>
      <c r="AS19" s="47">
        <v>-0.40239999999999998</v>
      </c>
      <c r="AT19" s="77">
        <v>0.06</v>
      </c>
      <c r="AU19" s="98">
        <v>0.06</v>
      </c>
      <c r="AV19" s="23">
        <v>0.02</v>
      </c>
      <c r="AW19" s="23">
        <v>0.03</v>
      </c>
      <c r="AX19" s="49">
        <v>0.46100000000000002</v>
      </c>
      <c r="AY19" s="49">
        <v>0.19700000000000001</v>
      </c>
      <c r="AZ19" s="47">
        <v>0.1598</v>
      </c>
      <c r="BA19" s="47">
        <v>0.1734</v>
      </c>
      <c r="BB19" s="47">
        <v>0.21959999999999999</v>
      </c>
      <c r="BC19" s="47">
        <v>0.35</v>
      </c>
      <c r="BD19" s="47">
        <v>-1.7999999999999999E-2</v>
      </c>
      <c r="BE19" s="47">
        <v>4.4400000000000002E-2</v>
      </c>
      <c r="BF19" s="46">
        <v>0.08</v>
      </c>
      <c r="BG19" s="46">
        <v>0.12</v>
      </c>
      <c r="BH19" s="23">
        <v>8.49</v>
      </c>
      <c r="BI19" s="23">
        <v>6.32</v>
      </c>
      <c r="BJ19" s="36">
        <v>-1.03</v>
      </c>
      <c r="BK19" s="36">
        <v>0.28999999999999998</v>
      </c>
      <c r="BL19" s="47">
        <v>-0.1217</v>
      </c>
      <c r="BM19" s="47">
        <v>2.7E-2</v>
      </c>
      <c r="BN19" s="47">
        <v>8.6300000000000002E-2</v>
      </c>
      <c r="BO19" s="47">
        <v>0.1186</v>
      </c>
    </row>
    <row r="20" spans="1:67" x14ac:dyDescent="0.25">
      <c r="A20" s="15" t="s">
        <v>143</v>
      </c>
      <c r="B20" s="47">
        <v>-0.1066</v>
      </c>
      <c r="C20" s="47">
        <v>-0.17899999999999999</v>
      </c>
      <c r="D20" s="77">
        <v>-0.16</v>
      </c>
      <c r="E20" s="46">
        <v>-0.31</v>
      </c>
      <c r="F20" s="47">
        <v>-0.1205</v>
      </c>
      <c r="G20" s="47">
        <v>4.8999999999999998E-3</v>
      </c>
      <c r="H20" s="47">
        <v>0.05</v>
      </c>
      <c r="I20" s="47">
        <v>0.109</v>
      </c>
      <c r="J20" s="46">
        <v>7.0000000000000007E-2</v>
      </c>
      <c r="K20" s="46">
        <v>0.12</v>
      </c>
      <c r="L20" s="47">
        <v>4.8599999999999997E-2</v>
      </c>
      <c r="M20" s="47">
        <v>0.1116</v>
      </c>
      <c r="N20" s="47">
        <v>7.1999999999999998E-3</v>
      </c>
      <c r="O20" s="47">
        <v>7.1999999999999998E-3</v>
      </c>
      <c r="P20" s="46">
        <v>-0.21</v>
      </c>
      <c r="Q20" s="46">
        <v>-0.43</v>
      </c>
      <c r="R20" s="46">
        <v>0.03</v>
      </c>
      <c r="S20" s="46">
        <v>0.06</v>
      </c>
      <c r="T20" s="47">
        <v>6.1999999999999998E-3</v>
      </c>
      <c r="U20" s="47">
        <v>3.9800000000000002E-2</v>
      </c>
      <c r="V20" s="49">
        <v>0.10340000000000001</v>
      </c>
      <c r="W20" s="49">
        <v>0.10340000000000001</v>
      </c>
      <c r="X20" s="46">
        <v>0.04</v>
      </c>
      <c r="Y20" s="47">
        <v>-0.15</v>
      </c>
      <c r="Z20" s="46">
        <v>0.06</v>
      </c>
      <c r="AA20" s="46">
        <v>0.12</v>
      </c>
      <c r="AB20" s="47"/>
      <c r="AC20" s="47">
        <v>9.9699999999999997E-2</v>
      </c>
      <c r="AD20" s="46">
        <v>0.04</v>
      </c>
      <c r="AE20" s="46">
        <v>0.11</v>
      </c>
      <c r="AF20" s="46">
        <v>0.02</v>
      </c>
      <c r="AG20" s="46">
        <v>0.13</v>
      </c>
      <c r="AH20" s="96">
        <v>2.4E-2</v>
      </c>
      <c r="AI20" s="96">
        <v>4.9000000000000002E-2</v>
      </c>
      <c r="AJ20" s="47">
        <v>-0.17460000000000001</v>
      </c>
      <c r="AK20" s="47">
        <v>-0.12939999999999999</v>
      </c>
      <c r="AL20" s="46">
        <v>-0.02</v>
      </c>
      <c r="AM20" s="46">
        <v>0.01</v>
      </c>
      <c r="AN20" s="47"/>
      <c r="AO20" s="47">
        <v>3.9117000000000002</v>
      </c>
      <c r="AP20" s="36">
        <v>-37</v>
      </c>
      <c r="AQ20" s="36">
        <v>-40</v>
      </c>
      <c r="AR20" s="47">
        <v>-7.6200000000000004E-2</v>
      </c>
      <c r="AS20" s="47">
        <v>-0.13880000000000001</v>
      </c>
      <c r="AT20" s="77">
        <v>0.03</v>
      </c>
      <c r="AU20" s="77">
        <v>7.0000000000000007E-2</v>
      </c>
      <c r="AV20" s="23">
        <v>0.01</v>
      </c>
      <c r="AW20" s="23">
        <v>0.03</v>
      </c>
      <c r="AX20" s="49">
        <v>0.123</v>
      </c>
      <c r="AY20" s="49">
        <v>0.129</v>
      </c>
      <c r="AZ20" s="47">
        <v>6.59E-2</v>
      </c>
      <c r="BA20" s="47">
        <v>0.11940000000000001</v>
      </c>
      <c r="BB20" s="47">
        <v>0.1668</v>
      </c>
      <c r="BC20" s="47">
        <v>0.1668</v>
      </c>
      <c r="BD20" s="47">
        <v>-1.5900000000000001E-2</v>
      </c>
      <c r="BE20" s="47">
        <v>6.4500000000000002E-2</v>
      </c>
      <c r="BF20" s="46">
        <v>0.04</v>
      </c>
      <c r="BG20" s="46">
        <v>0.11</v>
      </c>
      <c r="BH20" s="23">
        <v>13.48</v>
      </c>
      <c r="BI20" s="23">
        <v>10.35</v>
      </c>
      <c r="BJ20" s="36">
        <v>-2.94</v>
      </c>
      <c r="BK20" s="36">
        <v>1.42</v>
      </c>
      <c r="BL20" s="46"/>
      <c r="BM20" s="47">
        <v>6.1400000000000003E-2</v>
      </c>
      <c r="BN20" s="47">
        <v>3.0099999999999998E-2</v>
      </c>
      <c r="BO20" s="47">
        <v>7.2700000000000001E-2</v>
      </c>
    </row>
    <row r="21" spans="1:67" ht="30" x14ac:dyDescent="0.25">
      <c r="A21" s="15" t="s">
        <v>144</v>
      </c>
      <c r="B21" s="36">
        <v>3.36</v>
      </c>
      <c r="C21" s="36">
        <v>3.36</v>
      </c>
      <c r="D21" s="36">
        <v>2.165</v>
      </c>
      <c r="E21" s="36">
        <v>2.165</v>
      </c>
      <c r="F21" s="23">
        <v>1.91</v>
      </c>
      <c r="G21" s="23">
        <v>2.9</v>
      </c>
      <c r="H21" s="36">
        <v>3.07</v>
      </c>
      <c r="I21" s="36">
        <v>3.07</v>
      </c>
      <c r="J21" s="23">
        <v>1.91</v>
      </c>
      <c r="K21" s="23">
        <v>1.91</v>
      </c>
      <c r="L21" s="36">
        <v>1.95</v>
      </c>
      <c r="M21" s="36">
        <v>1.95</v>
      </c>
      <c r="N21" s="36"/>
      <c r="O21" s="36">
        <v>11.54</v>
      </c>
      <c r="P21" s="23">
        <v>2.02</v>
      </c>
      <c r="Q21" s="23">
        <v>2.02</v>
      </c>
      <c r="R21" s="36">
        <v>1.65</v>
      </c>
      <c r="S21" s="36">
        <v>1.65</v>
      </c>
      <c r="T21" s="36"/>
      <c r="U21" s="23">
        <v>2.82</v>
      </c>
      <c r="V21" s="36">
        <v>2.17</v>
      </c>
      <c r="W21" s="36">
        <v>2.17</v>
      </c>
      <c r="X21" s="36">
        <v>1.59</v>
      </c>
      <c r="Y21" s="36">
        <v>1.59</v>
      </c>
      <c r="Z21" s="23">
        <v>2.74</v>
      </c>
      <c r="AA21" s="23">
        <v>2.74</v>
      </c>
      <c r="AB21" s="36"/>
      <c r="AC21" s="36">
        <v>1.74</v>
      </c>
      <c r="AD21" s="36">
        <v>2.12</v>
      </c>
      <c r="AE21" s="36">
        <v>2.12</v>
      </c>
      <c r="AF21" s="36">
        <v>3.09</v>
      </c>
      <c r="AG21" s="36">
        <v>3.09</v>
      </c>
      <c r="AH21" s="36">
        <v>1.78</v>
      </c>
      <c r="AI21" s="36">
        <v>1.78</v>
      </c>
      <c r="AJ21" s="47">
        <v>3.0569999999999999</v>
      </c>
      <c r="AK21" s="47">
        <v>3.0569999999999999</v>
      </c>
      <c r="AL21" s="97" t="s">
        <v>309</v>
      </c>
      <c r="AM21" s="97" t="s">
        <v>309</v>
      </c>
      <c r="AN21" s="47"/>
      <c r="AO21" s="23">
        <v>0.2</v>
      </c>
      <c r="AP21" s="36">
        <v>2</v>
      </c>
      <c r="AQ21" s="36">
        <v>2</v>
      </c>
      <c r="AR21" s="36">
        <v>3.94</v>
      </c>
      <c r="AS21" s="36">
        <v>3.94</v>
      </c>
      <c r="AT21" s="36">
        <v>1.63</v>
      </c>
      <c r="AU21" s="36">
        <v>1.63</v>
      </c>
      <c r="AV21" s="23">
        <v>2.52</v>
      </c>
      <c r="AW21" s="23">
        <v>2.52</v>
      </c>
      <c r="AX21" s="23">
        <v>2.31</v>
      </c>
      <c r="AY21" s="23">
        <v>2.31</v>
      </c>
      <c r="AZ21" s="36">
        <v>2.34</v>
      </c>
      <c r="BA21" s="36">
        <v>2.34</v>
      </c>
      <c r="BB21" s="36">
        <v>3.66</v>
      </c>
      <c r="BC21" s="36">
        <v>3.66</v>
      </c>
      <c r="BD21" s="47"/>
      <c r="BE21" s="36">
        <v>1.74</v>
      </c>
      <c r="BF21" s="36">
        <v>2.17</v>
      </c>
      <c r="BG21" s="36">
        <v>2.17</v>
      </c>
      <c r="BH21" s="36">
        <v>2.14</v>
      </c>
      <c r="BI21" s="36">
        <v>2.14</v>
      </c>
      <c r="BJ21" s="36">
        <v>3.82</v>
      </c>
      <c r="BK21" s="36">
        <v>1.24</v>
      </c>
      <c r="BL21" s="36"/>
      <c r="BM21" s="111">
        <v>0.86</v>
      </c>
      <c r="BN21" s="36">
        <v>2.14</v>
      </c>
      <c r="BO21" s="36">
        <v>2.14</v>
      </c>
    </row>
    <row r="22" spans="1:67" x14ac:dyDescent="0.25">
      <c r="A22" s="15" t="s">
        <v>145</v>
      </c>
      <c r="B22" s="36"/>
      <c r="C22" s="36"/>
      <c r="D22" s="36"/>
      <c r="E22" s="36"/>
      <c r="F22" s="47">
        <v>7.6E-3</v>
      </c>
      <c r="G22" s="47">
        <v>7.6E-3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47"/>
      <c r="AJ22" s="36"/>
      <c r="AK22" s="36"/>
      <c r="AL22" s="36"/>
      <c r="AM22" s="36"/>
      <c r="AN22" s="47"/>
      <c r="AO22" s="47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47">
        <v>6.7000000000000002E-3</v>
      </c>
      <c r="BO22" s="47">
        <v>6.7000000000000002E-3</v>
      </c>
    </row>
    <row r="23" spans="1:67" x14ac:dyDescent="0.25">
      <c r="A23" s="15" t="s">
        <v>146</v>
      </c>
      <c r="B23" s="36"/>
      <c r="C23" s="36"/>
      <c r="D23" s="36"/>
      <c r="E23" s="36"/>
      <c r="F23" s="47"/>
      <c r="G23" s="47"/>
      <c r="H23" s="36"/>
      <c r="I23" s="47">
        <v>8.9999999999999993E-3</v>
      </c>
      <c r="J23" s="47">
        <v>5.6000000000000001E-2</v>
      </c>
      <c r="K23" s="47">
        <v>5.6000000000000001E-2</v>
      </c>
      <c r="L23" s="49"/>
      <c r="M23" s="49"/>
      <c r="N23" s="47"/>
      <c r="O23" s="47"/>
      <c r="P23" s="36"/>
      <c r="Q23" s="36"/>
      <c r="R23" s="36">
        <v>1.01</v>
      </c>
      <c r="S23" s="36">
        <v>1.01</v>
      </c>
      <c r="T23" s="36"/>
      <c r="U23" s="47"/>
      <c r="V23" s="36"/>
      <c r="W23" s="36"/>
      <c r="X23" s="36">
        <v>4.17</v>
      </c>
      <c r="Y23" s="36">
        <v>4.17</v>
      </c>
      <c r="Z23" s="36"/>
      <c r="AA23" s="36"/>
      <c r="AB23" s="36"/>
      <c r="AC23" s="47">
        <v>1.9900000000000001E-2</v>
      </c>
      <c r="AD23" s="36"/>
      <c r="AE23" s="36"/>
      <c r="AF23" s="36"/>
      <c r="AG23" s="36"/>
      <c r="AH23" s="96">
        <v>1.4E-2</v>
      </c>
      <c r="AI23" s="96">
        <v>1.4E-2</v>
      </c>
      <c r="AJ23" s="36"/>
      <c r="AK23" s="36"/>
      <c r="AL23" s="47">
        <v>6.2799999999999995E-2</v>
      </c>
      <c r="AM23" s="47">
        <v>6.2799999999999995E-2</v>
      </c>
      <c r="AN23" s="47"/>
      <c r="AO23" s="47">
        <v>1.18E-2</v>
      </c>
      <c r="AP23" s="49">
        <v>4.8099999999999997E-2</v>
      </c>
      <c r="AQ23" s="47">
        <v>4.8099999999999997E-2</v>
      </c>
      <c r="AR23" s="47">
        <v>3.2399999999999998E-2</v>
      </c>
      <c r="AS23" s="47">
        <v>3.2399999999999998E-2</v>
      </c>
      <c r="AT23" s="49">
        <v>1.8499999999999999E-2</v>
      </c>
      <c r="AU23" s="49">
        <v>1.8499999999999999E-2</v>
      </c>
      <c r="AV23" s="36"/>
      <c r="AW23" s="36"/>
      <c r="AX23" s="49">
        <v>1.6E-2</v>
      </c>
      <c r="AY23" s="49">
        <v>1.6E-2</v>
      </c>
      <c r="AZ23" s="36"/>
      <c r="BA23" s="36"/>
      <c r="BB23" s="36"/>
      <c r="BC23" s="36"/>
      <c r="BD23" s="36"/>
      <c r="BE23" s="36"/>
      <c r="BF23" s="36"/>
      <c r="BG23" s="36"/>
      <c r="BH23" s="36">
        <v>1.45</v>
      </c>
      <c r="BI23" s="36">
        <v>1.45</v>
      </c>
      <c r="BJ23" s="36"/>
      <c r="BK23" s="36">
        <v>2.17</v>
      </c>
      <c r="BL23" s="36"/>
      <c r="BM23" s="47">
        <v>1.89E-2</v>
      </c>
      <c r="BN23" s="36"/>
      <c r="BO23" s="47"/>
    </row>
    <row r="24" spans="1:67" x14ac:dyDescent="0.25">
      <c r="A24" s="15" t="s">
        <v>147</v>
      </c>
      <c r="B24" s="36"/>
      <c r="C24" s="36"/>
      <c r="D24" s="36"/>
      <c r="E24" s="36"/>
      <c r="F24" s="47"/>
      <c r="G24" s="47"/>
      <c r="H24" s="36"/>
      <c r="I24" s="47">
        <v>2E-3</v>
      </c>
      <c r="J24" s="47">
        <v>1.8700000000000001E-2</v>
      </c>
      <c r="K24" s="47">
        <v>1.8700000000000001E-2</v>
      </c>
      <c r="L24" s="49"/>
      <c r="M24" s="49"/>
      <c r="N24" s="47"/>
      <c r="O24" s="47"/>
      <c r="P24" s="36"/>
      <c r="Q24" s="36"/>
      <c r="R24" s="36">
        <v>0.17</v>
      </c>
      <c r="S24" s="36">
        <v>0.17</v>
      </c>
      <c r="T24" s="36"/>
      <c r="U24" s="47"/>
      <c r="V24" s="36"/>
      <c r="W24" s="36"/>
      <c r="X24" s="36">
        <v>0.79</v>
      </c>
      <c r="Y24" s="36">
        <v>0.79</v>
      </c>
      <c r="Z24" s="36"/>
      <c r="AA24" s="36"/>
      <c r="AB24" s="36"/>
      <c r="AC24" s="47">
        <v>1.0699999999999999E-2</v>
      </c>
      <c r="AD24" s="36"/>
      <c r="AE24" s="36"/>
      <c r="AF24" s="36"/>
      <c r="AG24" s="36"/>
      <c r="AH24" s="36"/>
      <c r="AI24" s="36"/>
      <c r="AJ24" s="36"/>
      <c r="AK24" s="36"/>
      <c r="AL24" s="47">
        <v>1.55E-2</v>
      </c>
      <c r="AM24" s="47">
        <v>1.55E-2</v>
      </c>
      <c r="AN24" s="47"/>
      <c r="AO24" s="47">
        <v>0</v>
      </c>
      <c r="AP24" s="49">
        <v>1.23E-2</v>
      </c>
      <c r="AQ24" s="47">
        <v>1.23E-2</v>
      </c>
      <c r="AR24" s="47">
        <v>0</v>
      </c>
      <c r="AS24" s="47">
        <v>0</v>
      </c>
      <c r="AT24" s="49">
        <v>1.17E-2</v>
      </c>
      <c r="AU24" s="49">
        <v>1.17E-2</v>
      </c>
      <c r="AV24" s="36"/>
      <c r="AW24" s="36"/>
      <c r="AX24" s="49">
        <v>1.0999999999999999E-2</v>
      </c>
      <c r="AY24" s="49">
        <v>1.0999999999999999E-2</v>
      </c>
      <c r="AZ24" s="36"/>
      <c r="BA24" s="36"/>
      <c r="BB24" s="36"/>
      <c r="BC24" s="36"/>
      <c r="BD24" s="36"/>
      <c r="BE24" s="36"/>
      <c r="BF24" s="36"/>
      <c r="BG24" s="36"/>
      <c r="BH24" s="36">
        <v>0.5</v>
      </c>
      <c r="BI24" s="36">
        <v>0.5</v>
      </c>
      <c r="BJ24" s="36"/>
      <c r="BK24" s="36"/>
      <c r="BL24" s="36"/>
      <c r="BM24" s="47">
        <v>8.3000000000000001E-3</v>
      </c>
      <c r="BN24" s="36"/>
      <c r="BO24" s="47"/>
    </row>
  </sheetData>
  <mergeCells count="33">
    <mergeCell ref="AV2:AW2"/>
    <mergeCell ref="AX2:AY2"/>
    <mergeCell ref="AZ2:BA2"/>
    <mergeCell ref="L2:M2"/>
    <mergeCell ref="B2:C2"/>
    <mergeCell ref="D2:E2"/>
    <mergeCell ref="F2:G2"/>
    <mergeCell ref="H2:I2"/>
    <mergeCell ref="J2:K2"/>
    <mergeCell ref="AJ2:AK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L2:AM2"/>
    <mergeCell ref="AN2:AO2"/>
    <mergeCell ref="AP2:AQ2"/>
    <mergeCell ref="AR2:AS2"/>
    <mergeCell ref="AT2:AU2"/>
    <mergeCell ref="BJ2:BK2"/>
    <mergeCell ref="BL2:BM2"/>
    <mergeCell ref="BN2:BO2"/>
    <mergeCell ref="BH2:BI2"/>
    <mergeCell ref="BB2:BC2"/>
    <mergeCell ref="BD2:BE2"/>
    <mergeCell ref="BF2:BG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57.7109375" style="7" customWidth="1"/>
    <col min="2" max="22" width="16" style="7" customWidth="1"/>
    <col min="23" max="23" width="16" style="52" customWidth="1"/>
    <col min="24" max="34" width="16" style="7" customWidth="1"/>
    <col min="35" max="16384" width="9.140625" style="7"/>
  </cols>
  <sheetData>
    <row r="1" spans="1:34" ht="18.75" x14ac:dyDescent="0.3">
      <c r="A1" s="9" t="s">
        <v>306</v>
      </c>
    </row>
    <row r="2" spans="1:34" x14ac:dyDescent="0.25">
      <c r="A2" s="7" t="s">
        <v>100</v>
      </c>
    </row>
    <row r="3" spans="1:34" x14ac:dyDescent="0.25">
      <c r="A3" s="1" t="s">
        <v>0</v>
      </c>
      <c r="B3" s="94" t="s">
        <v>1</v>
      </c>
      <c r="C3" s="94" t="s">
        <v>285</v>
      </c>
      <c r="D3" s="94" t="s">
        <v>2</v>
      </c>
      <c r="E3" s="94" t="s">
        <v>3</v>
      </c>
      <c r="F3" s="94" t="s">
        <v>4</v>
      </c>
      <c r="G3" s="94" t="s">
        <v>286</v>
      </c>
      <c r="H3" s="94" t="s">
        <v>6</v>
      </c>
      <c r="I3" s="94" t="s">
        <v>5</v>
      </c>
      <c r="J3" s="94" t="s">
        <v>7</v>
      </c>
      <c r="K3" s="94" t="s">
        <v>287</v>
      </c>
      <c r="L3" s="94" t="s">
        <v>8</v>
      </c>
      <c r="M3" s="94" t="s">
        <v>288</v>
      </c>
      <c r="N3" s="94" t="s">
        <v>9</v>
      </c>
      <c r="O3" s="94" t="s">
        <v>10</v>
      </c>
      <c r="P3" s="94" t="s">
        <v>289</v>
      </c>
      <c r="Q3" s="94" t="s">
        <v>11</v>
      </c>
      <c r="R3" s="94" t="s">
        <v>12</v>
      </c>
      <c r="S3" s="94" t="s">
        <v>290</v>
      </c>
      <c r="T3" s="94" t="s">
        <v>299</v>
      </c>
      <c r="U3" s="94" t="s">
        <v>13</v>
      </c>
      <c r="V3" s="94" t="s">
        <v>291</v>
      </c>
      <c r="W3" s="94" t="s">
        <v>292</v>
      </c>
      <c r="X3" s="94" t="s">
        <v>307</v>
      </c>
      <c r="Y3" s="94" t="s">
        <v>293</v>
      </c>
      <c r="Z3" s="94" t="s">
        <v>14</v>
      </c>
      <c r="AA3" s="94" t="s">
        <v>15</v>
      </c>
      <c r="AB3" s="94" t="s">
        <v>16</v>
      </c>
      <c r="AC3" s="94" t="s">
        <v>17</v>
      </c>
      <c r="AD3" s="94" t="s">
        <v>18</v>
      </c>
      <c r="AE3" s="113" t="s">
        <v>294</v>
      </c>
      <c r="AF3" s="113" t="s">
        <v>295</v>
      </c>
      <c r="AG3" s="113" t="s">
        <v>19</v>
      </c>
      <c r="AH3" s="94" t="s">
        <v>20</v>
      </c>
    </row>
    <row r="4" spans="1:34" ht="15" customHeight="1" x14ac:dyDescent="0.25">
      <c r="A4" s="2" t="s">
        <v>101</v>
      </c>
      <c r="B4" s="108">
        <v>27764</v>
      </c>
      <c r="C4" s="108">
        <v>98660.35</v>
      </c>
      <c r="D4" s="108">
        <v>1612123.21</v>
      </c>
      <c r="E4" s="108">
        <v>1731057</v>
      </c>
      <c r="F4" s="108">
        <v>546175</v>
      </c>
      <c r="G4" s="108">
        <v>932772</v>
      </c>
      <c r="H4" s="108">
        <v>781724.23</v>
      </c>
      <c r="I4" s="108">
        <v>28107</v>
      </c>
      <c r="J4" s="108">
        <v>462108</v>
      </c>
      <c r="K4" s="108">
        <v>400622</v>
      </c>
      <c r="L4" s="108">
        <v>1221756</v>
      </c>
      <c r="M4" s="108">
        <v>159947</v>
      </c>
      <c r="N4" s="108">
        <v>3020896</v>
      </c>
      <c r="O4" s="108">
        <v>881649.62</v>
      </c>
      <c r="P4" s="108">
        <v>61083</v>
      </c>
      <c r="Q4" s="108">
        <v>223197</v>
      </c>
      <c r="R4" s="108">
        <v>229134</v>
      </c>
      <c r="S4" s="108">
        <v>44945.51</v>
      </c>
      <c r="T4" s="108">
        <v>81610</v>
      </c>
      <c r="U4" s="108">
        <v>3623896</v>
      </c>
      <c r="V4" s="108">
        <v>32995</v>
      </c>
      <c r="W4" s="108">
        <v>40720</v>
      </c>
      <c r="X4" s="36">
        <v>1190833</v>
      </c>
      <c r="Y4" s="108">
        <v>147510</v>
      </c>
      <c r="Z4" s="108">
        <v>599519</v>
      </c>
      <c r="AA4" s="108">
        <v>812525</v>
      </c>
      <c r="AB4" s="108">
        <v>848562</v>
      </c>
      <c r="AC4" s="108">
        <v>433797</v>
      </c>
      <c r="AD4" s="108">
        <v>1218081</v>
      </c>
      <c r="AE4" s="108">
        <v>4478611.51</v>
      </c>
      <c r="AF4" s="36">
        <v>3406146</v>
      </c>
      <c r="AG4" s="36">
        <v>3495933.6</v>
      </c>
      <c r="AH4" s="108">
        <v>330157</v>
      </c>
    </row>
    <row r="5" spans="1:34" ht="15" customHeight="1" x14ac:dyDescent="0.25">
      <c r="A5" s="2" t="s">
        <v>102</v>
      </c>
      <c r="B5" s="108">
        <v>17192</v>
      </c>
      <c r="C5" s="108">
        <v>55965.55</v>
      </c>
      <c r="D5" s="108">
        <v>409442.57</v>
      </c>
      <c r="E5" s="108">
        <v>1353048</v>
      </c>
      <c r="F5" s="108">
        <v>357354</v>
      </c>
      <c r="G5" s="108">
        <v>601468</v>
      </c>
      <c r="H5" s="108">
        <v>766204.71</v>
      </c>
      <c r="I5" s="108">
        <v>22108</v>
      </c>
      <c r="J5" s="108"/>
      <c r="K5" s="108"/>
      <c r="L5" s="108"/>
      <c r="M5" s="108"/>
      <c r="N5" s="108"/>
      <c r="O5" s="108"/>
      <c r="P5" s="108"/>
      <c r="Q5" s="108">
        <v>165819</v>
      </c>
      <c r="R5" s="108"/>
      <c r="S5" s="108"/>
      <c r="T5" s="108">
        <v>54903</v>
      </c>
      <c r="U5" s="108"/>
      <c r="V5" s="108">
        <v>27193</v>
      </c>
      <c r="W5" s="108"/>
      <c r="X5" s="36">
        <v>871816</v>
      </c>
      <c r="Y5" s="108">
        <v>130972</v>
      </c>
      <c r="Z5" s="108"/>
      <c r="AA5" s="108"/>
      <c r="AB5" s="108">
        <v>796406</v>
      </c>
      <c r="AC5" s="108"/>
      <c r="AD5" s="108">
        <v>906093</v>
      </c>
      <c r="AE5" s="108">
        <v>4120866.74</v>
      </c>
      <c r="AF5" s="36">
        <v>2063242</v>
      </c>
      <c r="AG5" s="36">
        <v>2973031.38</v>
      </c>
      <c r="AH5" s="108">
        <v>228136</v>
      </c>
    </row>
    <row r="6" spans="1:34" ht="15" customHeight="1" x14ac:dyDescent="0.25">
      <c r="A6" s="2" t="s">
        <v>104</v>
      </c>
      <c r="B6" s="108"/>
      <c r="C6" s="108"/>
      <c r="D6" s="108"/>
      <c r="E6" s="108"/>
      <c r="F6" s="108"/>
      <c r="G6" s="108"/>
      <c r="H6" s="108"/>
      <c r="I6" s="108"/>
      <c r="J6" s="108">
        <v>83540</v>
      </c>
      <c r="K6" s="108">
        <v>238454</v>
      </c>
      <c r="L6" s="108">
        <v>846180</v>
      </c>
      <c r="M6" s="108">
        <v>44215</v>
      </c>
      <c r="N6" s="108">
        <v>2438263</v>
      </c>
      <c r="O6" s="108">
        <v>605112.06999999995</v>
      </c>
      <c r="P6" s="108">
        <v>58081</v>
      </c>
      <c r="Q6" s="108"/>
      <c r="R6" s="108">
        <v>190440</v>
      </c>
      <c r="S6" s="108">
        <v>40247.54</v>
      </c>
      <c r="T6" s="108"/>
      <c r="U6" s="108">
        <v>2959217</v>
      </c>
      <c r="V6" s="108"/>
      <c r="W6" s="108">
        <v>29475</v>
      </c>
      <c r="X6" s="108"/>
      <c r="Y6" s="108"/>
      <c r="Z6" s="108">
        <v>475744</v>
      </c>
      <c r="AA6" s="108">
        <v>774267</v>
      </c>
      <c r="AB6" s="108"/>
      <c r="AC6" s="108">
        <v>40479</v>
      </c>
      <c r="AD6" s="108"/>
      <c r="AE6" s="108"/>
      <c r="AF6" s="108"/>
      <c r="AG6" s="108"/>
      <c r="AH6" s="108"/>
    </row>
    <row r="7" spans="1:34" ht="15" customHeight="1" x14ac:dyDescent="0.25">
      <c r="A7" s="2" t="s">
        <v>105</v>
      </c>
      <c r="B7" s="108"/>
      <c r="C7" s="108"/>
      <c r="D7" s="108">
        <v>218113.28</v>
      </c>
      <c r="E7" s="108"/>
      <c r="F7" s="108"/>
      <c r="G7" s="108"/>
      <c r="H7" s="108"/>
      <c r="I7" s="108"/>
      <c r="J7" s="108">
        <v>358788</v>
      </c>
      <c r="K7" s="108">
        <v>631</v>
      </c>
      <c r="L7" s="108"/>
      <c r="M7" s="108">
        <v>93552</v>
      </c>
      <c r="N7" s="108">
        <v>4087</v>
      </c>
      <c r="O7" s="108">
        <v>244691.44</v>
      </c>
      <c r="P7" s="108"/>
      <c r="Q7" s="108"/>
      <c r="R7" s="108">
        <v>38694</v>
      </c>
      <c r="S7" s="108">
        <v>4238.47</v>
      </c>
      <c r="T7" s="108"/>
      <c r="U7" s="108">
        <v>608904</v>
      </c>
      <c r="V7" s="108"/>
      <c r="W7" s="108">
        <v>9565</v>
      </c>
      <c r="X7" s="108"/>
      <c r="Y7" s="108"/>
      <c r="Z7" s="108"/>
      <c r="AA7" s="108"/>
      <c r="AB7" s="108"/>
      <c r="AC7" s="108">
        <v>396480</v>
      </c>
      <c r="AD7" s="108"/>
      <c r="AE7" s="108"/>
      <c r="AF7" s="108"/>
      <c r="AG7" s="108"/>
      <c r="AH7" s="108">
        <v>379</v>
      </c>
    </row>
    <row r="8" spans="1:34" ht="30" customHeight="1" x14ac:dyDescent="0.25">
      <c r="A8" s="2" t="s">
        <v>103</v>
      </c>
      <c r="B8" s="108">
        <v>10572</v>
      </c>
      <c r="C8" s="108">
        <v>35592.85</v>
      </c>
      <c r="D8" s="108">
        <v>1047985.31</v>
      </c>
      <c r="E8" s="108">
        <v>291980</v>
      </c>
      <c r="F8" s="108">
        <v>175306</v>
      </c>
      <c r="G8" s="108">
        <v>319999</v>
      </c>
      <c r="H8" s="108">
        <v>42039.67</v>
      </c>
      <c r="I8" s="108">
        <v>4866</v>
      </c>
      <c r="J8" s="108"/>
      <c r="K8" s="108">
        <v>116478</v>
      </c>
      <c r="L8" s="108">
        <v>375576</v>
      </c>
      <c r="M8" s="108">
        <v>19255</v>
      </c>
      <c r="N8" s="108">
        <v>568044</v>
      </c>
      <c r="O8" s="108">
        <v>31846.11</v>
      </c>
      <c r="P8" s="108">
        <v>10</v>
      </c>
      <c r="Q8" s="108">
        <v>57102</v>
      </c>
      <c r="R8" s="108"/>
      <c r="S8" s="108"/>
      <c r="T8" s="108">
        <v>20575</v>
      </c>
      <c r="U8" s="108"/>
      <c r="V8" s="108">
        <v>4685</v>
      </c>
      <c r="W8" s="108"/>
      <c r="X8" s="36">
        <v>319017</v>
      </c>
      <c r="Y8" s="108">
        <v>12223</v>
      </c>
      <c r="Z8" s="108">
        <v>104732</v>
      </c>
      <c r="AA8" s="108"/>
      <c r="AB8" s="108">
        <v>42838</v>
      </c>
      <c r="AC8" s="108"/>
      <c r="AD8" s="108">
        <v>285053</v>
      </c>
      <c r="AE8" s="108">
        <v>383430.7</v>
      </c>
      <c r="AF8" s="36">
        <v>157014</v>
      </c>
      <c r="AG8" s="36">
        <v>441210.77</v>
      </c>
      <c r="AH8" s="108">
        <v>93307</v>
      </c>
    </row>
    <row r="9" spans="1:34" s="44" customFormat="1" ht="15" customHeight="1" x14ac:dyDescent="0.25">
      <c r="A9" s="19" t="s">
        <v>106</v>
      </c>
      <c r="B9" s="43"/>
      <c r="C9" s="43">
        <v>7101.95</v>
      </c>
      <c r="D9" s="43">
        <v>-63417.95</v>
      </c>
      <c r="E9" s="43">
        <v>86029</v>
      </c>
      <c r="F9" s="43">
        <v>13515</v>
      </c>
      <c r="G9" s="43">
        <v>11305</v>
      </c>
      <c r="H9" s="43">
        <v>-26520.15</v>
      </c>
      <c r="I9" s="43">
        <v>1133</v>
      </c>
      <c r="J9" s="43">
        <v>19780</v>
      </c>
      <c r="K9" s="43">
        <v>45058</v>
      </c>
      <c r="L9" s="43"/>
      <c r="M9" s="43">
        <v>2925</v>
      </c>
      <c r="N9" s="43">
        <v>10502</v>
      </c>
      <c r="O9" s="43"/>
      <c r="P9" s="43">
        <v>2992</v>
      </c>
      <c r="Q9" s="43">
        <v>276</v>
      </c>
      <c r="R9" s="43"/>
      <c r="S9" s="43">
        <v>459.49</v>
      </c>
      <c r="T9" s="43">
        <v>6132</v>
      </c>
      <c r="U9" s="43">
        <v>55775</v>
      </c>
      <c r="V9" s="43">
        <v>1117</v>
      </c>
      <c r="W9" s="43">
        <v>1680</v>
      </c>
      <c r="X9" s="43"/>
      <c r="Y9" s="43">
        <v>4315</v>
      </c>
      <c r="Z9" s="43">
        <v>19042</v>
      </c>
      <c r="AA9" s="43">
        <v>38258</v>
      </c>
      <c r="AB9" s="43">
        <v>9317</v>
      </c>
      <c r="AC9" s="43">
        <v>-3162</v>
      </c>
      <c r="AD9" s="43">
        <v>26935</v>
      </c>
      <c r="AE9" s="43">
        <v>-25685.93</v>
      </c>
      <c r="AF9" s="36">
        <v>1185890</v>
      </c>
      <c r="AG9" s="36">
        <v>81691.45</v>
      </c>
      <c r="AH9" s="43">
        <v>8336</v>
      </c>
    </row>
    <row r="10" spans="1:34" ht="15" customHeight="1" x14ac:dyDescent="0.25">
      <c r="A10" s="2" t="s">
        <v>107</v>
      </c>
      <c r="B10" s="108">
        <v>23563</v>
      </c>
      <c r="C10" s="108">
        <v>29750.9</v>
      </c>
      <c r="D10" s="108">
        <v>394736.63</v>
      </c>
      <c r="E10" s="108">
        <v>649351</v>
      </c>
      <c r="F10" s="108">
        <v>90139</v>
      </c>
      <c r="G10" s="108">
        <v>178910</v>
      </c>
      <c r="H10" s="108">
        <v>566869.76000000001</v>
      </c>
      <c r="I10" s="108">
        <v>10290</v>
      </c>
      <c r="J10" s="108">
        <v>97580</v>
      </c>
      <c r="K10" s="108">
        <v>70949</v>
      </c>
      <c r="L10" s="108">
        <v>338694</v>
      </c>
      <c r="M10" s="108">
        <v>72205</v>
      </c>
      <c r="N10" s="108">
        <v>685753</v>
      </c>
      <c r="O10" s="108">
        <v>512104.69</v>
      </c>
      <c r="P10" s="108">
        <v>25335</v>
      </c>
      <c r="Q10" s="108">
        <v>95566</v>
      </c>
      <c r="R10" s="108">
        <v>52490</v>
      </c>
      <c r="S10" s="108">
        <v>46383.07</v>
      </c>
      <c r="T10" s="108">
        <v>64822</v>
      </c>
      <c r="U10" s="108">
        <v>19193</v>
      </c>
      <c r="V10" s="108">
        <v>8869</v>
      </c>
      <c r="W10" s="108">
        <v>21323</v>
      </c>
      <c r="X10" s="108">
        <v>307003</v>
      </c>
      <c r="Y10" s="108">
        <v>113961</v>
      </c>
      <c r="Z10" s="108">
        <v>120271</v>
      </c>
      <c r="AA10" s="108">
        <v>233749</v>
      </c>
      <c r="AB10" s="108">
        <v>184726</v>
      </c>
      <c r="AC10" s="108">
        <v>248649</v>
      </c>
      <c r="AD10" s="108">
        <v>343952</v>
      </c>
      <c r="AE10" s="108">
        <v>1856151</v>
      </c>
      <c r="AF10" s="36">
        <v>191388</v>
      </c>
      <c r="AG10" s="36">
        <v>332289.78999999998</v>
      </c>
      <c r="AH10" s="108">
        <v>104327</v>
      </c>
    </row>
    <row r="11" spans="1:34" ht="30" customHeight="1" x14ac:dyDescent="0.25">
      <c r="A11" s="2" t="s">
        <v>108</v>
      </c>
      <c r="B11" s="108">
        <v>6766</v>
      </c>
      <c r="C11" s="108"/>
      <c r="D11" s="108">
        <v>612.87</v>
      </c>
      <c r="E11" s="108">
        <v>99661</v>
      </c>
      <c r="F11" s="108">
        <v>4880</v>
      </c>
      <c r="G11" s="108">
        <v>27489</v>
      </c>
      <c r="H11" s="108">
        <v>31714.13</v>
      </c>
      <c r="I11" s="108">
        <v>1337</v>
      </c>
      <c r="J11" s="108">
        <v>30125</v>
      </c>
      <c r="K11" s="108"/>
      <c r="L11" s="108">
        <v>46402</v>
      </c>
      <c r="M11" s="108">
        <v>9332</v>
      </c>
      <c r="N11" s="108">
        <v>21232</v>
      </c>
      <c r="O11" s="108">
        <v>260395.83</v>
      </c>
      <c r="P11" s="108">
        <v>10249</v>
      </c>
      <c r="Q11" s="108">
        <v>12146</v>
      </c>
      <c r="R11" s="108">
        <v>14107</v>
      </c>
      <c r="S11" s="108">
        <v>8999.91</v>
      </c>
      <c r="T11" s="108">
        <v>31407</v>
      </c>
      <c r="U11" s="108"/>
      <c r="V11" s="111">
        <v>0.01</v>
      </c>
      <c r="W11" s="108">
        <v>3293</v>
      </c>
      <c r="X11" s="36">
        <v>103256</v>
      </c>
      <c r="Y11" s="108">
        <v>26580</v>
      </c>
      <c r="Z11" s="108"/>
      <c r="AA11" s="108">
        <v>28505</v>
      </c>
      <c r="AB11" s="108">
        <v>16922</v>
      </c>
      <c r="AC11" s="108">
        <v>34549</v>
      </c>
      <c r="AD11" s="108">
        <v>68651</v>
      </c>
      <c r="AE11" s="108">
        <v>419212.66</v>
      </c>
      <c r="AF11" s="36">
        <v>924974</v>
      </c>
      <c r="AG11" s="36">
        <v>41937.26</v>
      </c>
      <c r="AH11" s="108">
        <v>7704</v>
      </c>
    </row>
    <row r="12" spans="1:34" s="44" customFormat="1" x14ac:dyDescent="0.25">
      <c r="A12" s="19" t="s">
        <v>109</v>
      </c>
      <c r="B12" s="43">
        <v>16797</v>
      </c>
      <c r="C12" s="43">
        <v>29750.9</v>
      </c>
      <c r="D12" s="43">
        <v>394123.76</v>
      </c>
      <c r="E12" s="43">
        <v>549690</v>
      </c>
      <c r="F12" s="43">
        <v>85259</v>
      </c>
      <c r="G12" s="43">
        <v>151421</v>
      </c>
      <c r="H12" s="43">
        <v>535155.63</v>
      </c>
      <c r="I12" s="43">
        <v>8953</v>
      </c>
      <c r="J12" s="43">
        <v>67455</v>
      </c>
      <c r="K12" s="43">
        <v>70949</v>
      </c>
      <c r="L12" s="43">
        <v>292292</v>
      </c>
      <c r="M12" s="43">
        <v>62873</v>
      </c>
      <c r="N12" s="43">
        <v>664521</v>
      </c>
      <c r="O12" s="43">
        <v>251708.86</v>
      </c>
      <c r="P12" s="43">
        <v>15087</v>
      </c>
      <c r="Q12" s="43">
        <v>83420</v>
      </c>
      <c r="R12" s="43">
        <v>38383</v>
      </c>
      <c r="S12" s="43">
        <v>37383.15</v>
      </c>
      <c r="T12" s="43">
        <v>33415</v>
      </c>
      <c r="U12" s="43">
        <v>19193</v>
      </c>
      <c r="V12" s="43">
        <v>8869</v>
      </c>
      <c r="W12" s="43">
        <v>18030</v>
      </c>
      <c r="X12" s="43">
        <v>203747</v>
      </c>
      <c r="Y12" s="43">
        <v>87381</v>
      </c>
      <c r="Z12" s="43">
        <v>120271</v>
      </c>
      <c r="AA12" s="43">
        <v>205244</v>
      </c>
      <c r="AB12" s="43">
        <v>167804</v>
      </c>
      <c r="AC12" s="43">
        <v>214101</v>
      </c>
      <c r="AD12" s="43">
        <v>275301</v>
      </c>
      <c r="AE12" s="43">
        <v>1436938.52</v>
      </c>
      <c r="AF12" s="36">
        <v>-733586</v>
      </c>
      <c r="AG12" s="36">
        <v>290352.53000000003</v>
      </c>
      <c r="AH12" s="43">
        <v>96622</v>
      </c>
    </row>
    <row r="13" spans="1:34" s="8" customFormat="1" ht="15" customHeight="1" x14ac:dyDescent="0.25">
      <c r="A13" s="3" t="s">
        <v>110</v>
      </c>
      <c r="B13" s="11">
        <v>16797</v>
      </c>
      <c r="C13" s="11">
        <v>36852.85</v>
      </c>
      <c r="D13" s="11">
        <v>330705.82</v>
      </c>
      <c r="E13" s="11">
        <v>635720</v>
      </c>
      <c r="F13" s="11">
        <v>98774</v>
      </c>
      <c r="G13" s="11">
        <v>162726</v>
      </c>
      <c r="H13" s="11">
        <v>508635.48</v>
      </c>
      <c r="I13" s="11">
        <v>10086</v>
      </c>
      <c r="J13" s="11">
        <v>87235</v>
      </c>
      <c r="K13" s="11">
        <v>116008</v>
      </c>
      <c r="L13" s="11">
        <v>292292</v>
      </c>
      <c r="M13" s="11">
        <v>65798</v>
      </c>
      <c r="N13" s="11">
        <v>675023</v>
      </c>
      <c r="O13" s="11">
        <v>251708.86</v>
      </c>
      <c r="P13" s="11">
        <v>18079</v>
      </c>
      <c r="Q13" s="11">
        <v>83697</v>
      </c>
      <c r="R13" s="11">
        <v>38383</v>
      </c>
      <c r="S13" s="11">
        <v>37842.65</v>
      </c>
      <c r="T13" s="11">
        <v>39547</v>
      </c>
      <c r="U13" s="11">
        <v>74968</v>
      </c>
      <c r="V13" s="11">
        <v>9986</v>
      </c>
      <c r="W13" s="11">
        <v>19710</v>
      </c>
      <c r="X13" s="11">
        <v>203747</v>
      </c>
      <c r="Y13" s="11">
        <v>91696</v>
      </c>
      <c r="Z13" s="11">
        <v>139314</v>
      </c>
      <c r="AA13" s="11">
        <v>243502</v>
      </c>
      <c r="AB13" s="11">
        <v>177122</v>
      </c>
      <c r="AC13" s="11">
        <v>210939</v>
      </c>
      <c r="AD13" s="11">
        <v>302236</v>
      </c>
      <c r="AE13" s="11">
        <v>1411252.59</v>
      </c>
      <c r="AF13" s="36">
        <v>452304</v>
      </c>
      <c r="AG13" s="36">
        <v>372043.98</v>
      </c>
      <c r="AH13" s="11">
        <v>104958</v>
      </c>
    </row>
    <row r="14" spans="1:34" s="8" customFormat="1" ht="14.25" customHeight="1" x14ac:dyDescent="0.25">
      <c r="A14" s="3" t="s">
        <v>111</v>
      </c>
      <c r="B14" s="11">
        <v>5000</v>
      </c>
      <c r="C14" s="11">
        <v>17019.580000000002</v>
      </c>
      <c r="D14" s="11">
        <v>113858.36</v>
      </c>
      <c r="E14" s="11">
        <v>207251</v>
      </c>
      <c r="F14" s="11">
        <v>51710</v>
      </c>
      <c r="G14" s="11">
        <v>83485</v>
      </c>
      <c r="H14" s="11">
        <v>44079.97</v>
      </c>
      <c r="I14" s="11">
        <v>5000</v>
      </c>
      <c r="J14" s="11">
        <v>52777</v>
      </c>
      <c r="K14" s="11">
        <v>41169</v>
      </c>
      <c r="L14" s="11">
        <v>134719</v>
      </c>
      <c r="M14" s="11">
        <v>41448</v>
      </c>
      <c r="N14" s="11">
        <v>246200</v>
      </c>
      <c r="O14" s="11">
        <v>144533.79</v>
      </c>
      <c r="P14" s="11">
        <v>8508</v>
      </c>
      <c r="Q14" s="11">
        <v>27058</v>
      </c>
      <c r="R14" s="11">
        <v>21609</v>
      </c>
      <c r="S14" s="11">
        <v>12379.13</v>
      </c>
      <c r="T14" s="11">
        <v>21945</v>
      </c>
      <c r="U14" s="11">
        <v>369461</v>
      </c>
      <c r="V14" s="11">
        <v>5000</v>
      </c>
      <c r="W14" s="11">
        <v>5000</v>
      </c>
      <c r="X14" s="11">
        <v>125372</v>
      </c>
      <c r="Y14" s="11">
        <v>36336</v>
      </c>
      <c r="Z14" s="11">
        <v>60252</v>
      </c>
      <c r="AA14" s="11">
        <v>104146</v>
      </c>
      <c r="AB14" s="11">
        <v>48392</v>
      </c>
      <c r="AC14" s="11">
        <v>121283</v>
      </c>
      <c r="AD14" s="11">
        <v>138959</v>
      </c>
      <c r="AE14" s="11">
        <v>660907.80000000005</v>
      </c>
      <c r="AF14" s="36">
        <v>330674</v>
      </c>
      <c r="AG14" s="36">
        <v>434910.33</v>
      </c>
      <c r="AH14" s="11">
        <v>48975</v>
      </c>
    </row>
    <row r="15" spans="1:34" s="42" customFormat="1" ht="14.25" customHeight="1" x14ac:dyDescent="0.25">
      <c r="A15" s="20" t="s">
        <v>112</v>
      </c>
      <c r="B15" s="41">
        <v>3.36</v>
      </c>
      <c r="C15" s="41">
        <v>2.17</v>
      </c>
      <c r="D15" s="41">
        <v>2.9</v>
      </c>
      <c r="E15" s="41">
        <v>3.07</v>
      </c>
      <c r="F15" s="91">
        <v>1.91</v>
      </c>
      <c r="G15" s="41">
        <v>1.9490000000000001</v>
      </c>
      <c r="H15" s="41">
        <v>11.54</v>
      </c>
      <c r="I15" s="41">
        <v>2.02</v>
      </c>
      <c r="J15" s="41">
        <v>1.65</v>
      </c>
      <c r="K15" s="41">
        <v>2.82</v>
      </c>
      <c r="L15" s="41">
        <v>2.17</v>
      </c>
      <c r="M15" s="41">
        <v>1.59</v>
      </c>
      <c r="N15" s="41">
        <v>2.74</v>
      </c>
      <c r="O15" s="41">
        <v>1.74</v>
      </c>
      <c r="P15" s="41">
        <v>2.12</v>
      </c>
      <c r="Q15" s="41">
        <v>3.09</v>
      </c>
      <c r="R15" s="41">
        <v>1.78</v>
      </c>
      <c r="S15" s="41">
        <v>3.0569999999999999</v>
      </c>
      <c r="T15" s="41">
        <v>1.8</v>
      </c>
      <c r="U15" s="41">
        <v>0.2</v>
      </c>
      <c r="V15" s="41">
        <v>2</v>
      </c>
      <c r="W15" s="41">
        <v>3.94</v>
      </c>
      <c r="X15" s="41">
        <v>1.63</v>
      </c>
      <c r="Y15" s="41">
        <v>2.52</v>
      </c>
      <c r="Z15" s="41">
        <v>2.31</v>
      </c>
      <c r="AA15" s="41">
        <v>2.34</v>
      </c>
      <c r="AB15" s="41">
        <v>3.66</v>
      </c>
      <c r="AC15" s="41">
        <v>1.74</v>
      </c>
      <c r="AD15" s="41">
        <v>2.17</v>
      </c>
      <c r="AE15" s="41">
        <v>2.14</v>
      </c>
      <c r="AF15" s="41">
        <v>1.37</v>
      </c>
      <c r="AG15" s="41">
        <v>0.86</v>
      </c>
      <c r="AH15" s="41">
        <v>2.14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2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" customWidth="1"/>
    <col min="2" max="26" width="16" style="7" customWidth="1"/>
    <col min="27" max="27" width="16" style="52" customWidth="1"/>
    <col min="28" max="28" width="16" style="7" customWidth="1"/>
    <col min="29" max="29" width="16" style="52" customWidth="1"/>
    <col min="30" max="46" width="16" style="7" customWidth="1"/>
    <col min="47" max="47" width="16" style="95" customWidth="1"/>
    <col min="48" max="48" width="16" style="7" customWidth="1"/>
    <col min="49" max="49" width="16" style="95" customWidth="1"/>
    <col min="50" max="62" width="16" style="7" customWidth="1"/>
    <col min="63" max="63" width="16" style="52" customWidth="1"/>
    <col min="64" max="64" width="16" style="7" customWidth="1"/>
    <col min="65" max="65" width="16" style="52" customWidth="1"/>
    <col min="66" max="118" width="16" style="7" customWidth="1"/>
    <col min="119" max="119" width="16" style="52" customWidth="1"/>
    <col min="120" max="120" width="16" style="7" customWidth="1"/>
    <col min="121" max="121" width="16" style="52" customWidth="1"/>
    <col min="122" max="133" width="16" style="7" customWidth="1"/>
    <col min="134" max="16384" width="9.140625" style="7"/>
  </cols>
  <sheetData>
    <row r="1" spans="1:133" ht="18.75" x14ac:dyDescent="0.3">
      <c r="A1" s="17" t="s">
        <v>113</v>
      </c>
    </row>
    <row r="2" spans="1:133" x14ac:dyDescent="0.25">
      <c r="A2" s="7" t="s">
        <v>114</v>
      </c>
    </row>
    <row r="3" spans="1:133" x14ac:dyDescent="0.25">
      <c r="A3" s="1" t="s">
        <v>0</v>
      </c>
      <c r="B3" s="128" t="s">
        <v>1</v>
      </c>
      <c r="C3" s="128"/>
      <c r="D3" s="128"/>
      <c r="E3" s="128"/>
      <c r="F3" s="128" t="s">
        <v>285</v>
      </c>
      <c r="G3" s="128"/>
      <c r="H3" s="128"/>
      <c r="I3" s="128"/>
      <c r="J3" s="128" t="s">
        <v>2</v>
      </c>
      <c r="K3" s="128"/>
      <c r="L3" s="128"/>
      <c r="M3" s="128"/>
      <c r="N3" s="128" t="s">
        <v>3</v>
      </c>
      <c r="O3" s="128"/>
      <c r="P3" s="128"/>
      <c r="Q3" s="128"/>
      <c r="R3" s="128" t="s">
        <v>4</v>
      </c>
      <c r="S3" s="128"/>
      <c r="T3" s="128"/>
      <c r="U3" s="128"/>
      <c r="V3" s="128" t="s">
        <v>286</v>
      </c>
      <c r="W3" s="128"/>
      <c r="X3" s="128"/>
      <c r="Y3" s="128"/>
      <c r="Z3" s="128" t="s">
        <v>6</v>
      </c>
      <c r="AA3" s="128"/>
      <c r="AB3" s="128"/>
      <c r="AC3" s="128"/>
      <c r="AD3" s="128" t="s">
        <v>5</v>
      </c>
      <c r="AE3" s="128"/>
      <c r="AF3" s="128"/>
      <c r="AG3" s="128"/>
      <c r="AH3" s="128" t="s">
        <v>7</v>
      </c>
      <c r="AI3" s="128"/>
      <c r="AJ3" s="128"/>
      <c r="AK3" s="128"/>
      <c r="AL3" s="128" t="s">
        <v>287</v>
      </c>
      <c r="AM3" s="128"/>
      <c r="AN3" s="128"/>
      <c r="AO3" s="128"/>
      <c r="AP3" s="128" t="s">
        <v>8</v>
      </c>
      <c r="AQ3" s="128"/>
      <c r="AR3" s="128"/>
      <c r="AS3" s="128"/>
      <c r="AT3" s="128" t="s">
        <v>288</v>
      </c>
      <c r="AU3" s="128"/>
      <c r="AV3" s="128"/>
      <c r="AW3" s="128"/>
      <c r="AX3" s="128" t="s">
        <v>9</v>
      </c>
      <c r="AY3" s="128"/>
      <c r="AZ3" s="128"/>
      <c r="BA3" s="128"/>
      <c r="BB3" s="128" t="s">
        <v>10</v>
      </c>
      <c r="BC3" s="128"/>
      <c r="BD3" s="128"/>
      <c r="BE3" s="128"/>
      <c r="BF3" s="128" t="s">
        <v>289</v>
      </c>
      <c r="BG3" s="128"/>
      <c r="BH3" s="128"/>
      <c r="BI3" s="128"/>
      <c r="BJ3" s="128" t="s">
        <v>11</v>
      </c>
      <c r="BK3" s="128"/>
      <c r="BL3" s="128"/>
      <c r="BM3" s="128"/>
      <c r="BN3" s="128" t="s">
        <v>12</v>
      </c>
      <c r="BO3" s="128"/>
      <c r="BP3" s="128"/>
      <c r="BQ3" s="128"/>
      <c r="BR3" s="128" t="s">
        <v>290</v>
      </c>
      <c r="BS3" s="128"/>
      <c r="BT3" s="128"/>
      <c r="BU3" s="128"/>
      <c r="BV3" s="128" t="s">
        <v>299</v>
      </c>
      <c r="BW3" s="128"/>
      <c r="BX3" s="128"/>
      <c r="BY3" s="128"/>
      <c r="BZ3" s="128" t="s">
        <v>13</v>
      </c>
      <c r="CA3" s="128"/>
      <c r="CB3" s="128"/>
      <c r="CC3" s="128"/>
      <c r="CD3" s="128" t="s">
        <v>291</v>
      </c>
      <c r="CE3" s="128"/>
      <c r="CF3" s="128"/>
      <c r="CG3" s="128"/>
      <c r="CH3" s="128" t="s">
        <v>292</v>
      </c>
      <c r="CI3" s="128"/>
      <c r="CJ3" s="128"/>
      <c r="CK3" s="128"/>
      <c r="CL3" s="128" t="s">
        <v>307</v>
      </c>
      <c r="CM3" s="128"/>
      <c r="CN3" s="128"/>
      <c r="CO3" s="128"/>
      <c r="CP3" s="128" t="s">
        <v>293</v>
      </c>
      <c r="CQ3" s="128"/>
      <c r="CR3" s="128"/>
      <c r="CS3" s="128"/>
      <c r="CT3" s="128" t="s">
        <v>14</v>
      </c>
      <c r="CU3" s="128"/>
      <c r="CV3" s="128"/>
      <c r="CW3" s="128"/>
      <c r="CX3" s="128" t="s">
        <v>15</v>
      </c>
      <c r="CY3" s="128"/>
      <c r="CZ3" s="128"/>
      <c r="DA3" s="128"/>
      <c r="DB3" s="128" t="s">
        <v>16</v>
      </c>
      <c r="DC3" s="128"/>
      <c r="DD3" s="128"/>
      <c r="DE3" s="128"/>
      <c r="DF3" s="128" t="s">
        <v>17</v>
      </c>
      <c r="DG3" s="128"/>
      <c r="DH3" s="128"/>
      <c r="DI3" s="128"/>
      <c r="DJ3" s="128" t="s">
        <v>18</v>
      </c>
      <c r="DK3" s="128"/>
      <c r="DL3" s="128"/>
      <c r="DM3" s="128"/>
      <c r="DN3" s="128" t="s">
        <v>294</v>
      </c>
      <c r="DO3" s="128"/>
      <c r="DP3" s="128"/>
      <c r="DQ3" s="128"/>
      <c r="DR3" s="128" t="s">
        <v>295</v>
      </c>
      <c r="DS3" s="128"/>
      <c r="DT3" s="128"/>
      <c r="DU3" s="128"/>
      <c r="DV3" s="129" t="s">
        <v>19</v>
      </c>
      <c r="DW3" s="129"/>
      <c r="DX3" s="129"/>
      <c r="DY3" s="129"/>
      <c r="DZ3" s="122" t="s">
        <v>20</v>
      </c>
      <c r="EA3" s="122"/>
      <c r="EB3" s="122"/>
      <c r="EC3" s="122"/>
    </row>
    <row r="4" spans="1:133" ht="15" customHeight="1" x14ac:dyDescent="0.25">
      <c r="A4" s="1"/>
      <c r="B4" s="124" t="s">
        <v>296</v>
      </c>
      <c r="C4" s="124"/>
      <c r="D4" s="130" t="s">
        <v>297</v>
      </c>
      <c r="E4" s="130"/>
      <c r="F4" s="124" t="s">
        <v>296</v>
      </c>
      <c r="G4" s="124"/>
      <c r="H4" s="130" t="s">
        <v>297</v>
      </c>
      <c r="I4" s="130"/>
      <c r="J4" s="124" t="s">
        <v>296</v>
      </c>
      <c r="K4" s="124"/>
      <c r="L4" s="130" t="s">
        <v>297</v>
      </c>
      <c r="M4" s="130"/>
      <c r="N4" s="124" t="s">
        <v>296</v>
      </c>
      <c r="O4" s="124"/>
      <c r="P4" s="130" t="s">
        <v>297</v>
      </c>
      <c r="Q4" s="130"/>
      <c r="R4" s="124" t="s">
        <v>296</v>
      </c>
      <c r="S4" s="124"/>
      <c r="T4" s="130" t="s">
        <v>297</v>
      </c>
      <c r="U4" s="130"/>
      <c r="V4" s="124" t="s">
        <v>296</v>
      </c>
      <c r="W4" s="124"/>
      <c r="X4" s="130" t="s">
        <v>297</v>
      </c>
      <c r="Y4" s="130"/>
      <c r="Z4" s="124" t="s">
        <v>296</v>
      </c>
      <c r="AA4" s="124"/>
      <c r="AB4" s="130" t="s">
        <v>297</v>
      </c>
      <c r="AC4" s="130"/>
      <c r="AD4" s="124" t="s">
        <v>296</v>
      </c>
      <c r="AE4" s="124"/>
      <c r="AF4" s="130" t="s">
        <v>297</v>
      </c>
      <c r="AG4" s="130"/>
      <c r="AH4" s="124" t="s">
        <v>296</v>
      </c>
      <c r="AI4" s="124"/>
      <c r="AJ4" s="130" t="s">
        <v>297</v>
      </c>
      <c r="AK4" s="130"/>
      <c r="AL4" s="124" t="s">
        <v>296</v>
      </c>
      <c r="AM4" s="124"/>
      <c r="AN4" s="130" t="s">
        <v>297</v>
      </c>
      <c r="AO4" s="130"/>
      <c r="AP4" s="124" t="s">
        <v>296</v>
      </c>
      <c r="AQ4" s="124"/>
      <c r="AR4" s="130" t="s">
        <v>297</v>
      </c>
      <c r="AS4" s="130"/>
      <c r="AT4" s="124" t="s">
        <v>296</v>
      </c>
      <c r="AU4" s="124"/>
      <c r="AV4" s="130" t="s">
        <v>297</v>
      </c>
      <c r="AW4" s="130"/>
      <c r="AX4" s="124" t="s">
        <v>296</v>
      </c>
      <c r="AY4" s="124"/>
      <c r="AZ4" s="130" t="s">
        <v>297</v>
      </c>
      <c r="BA4" s="130"/>
      <c r="BB4" s="124" t="s">
        <v>296</v>
      </c>
      <c r="BC4" s="124"/>
      <c r="BD4" s="130" t="s">
        <v>297</v>
      </c>
      <c r="BE4" s="130"/>
      <c r="BF4" s="124" t="s">
        <v>296</v>
      </c>
      <c r="BG4" s="124"/>
      <c r="BH4" s="130" t="s">
        <v>297</v>
      </c>
      <c r="BI4" s="130"/>
      <c r="BJ4" s="124" t="s">
        <v>296</v>
      </c>
      <c r="BK4" s="124"/>
      <c r="BL4" s="130" t="s">
        <v>297</v>
      </c>
      <c r="BM4" s="130"/>
      <c r="BN4" s="124" t="s">
        <v>296</v>
      </c>
      <c r="BO4" s="124"/>
      <c r="BP4" s="130" t="s">
        <v>297</v>
      </c>
      <c r="BQ4" s="130"/>
      <c r="BR4" s="124" t="s">
        <v>296</v>
      </c>
      <c r="BS4" s="124"/>
      <c r="BT4" s="130" t="s">
        <v>297</v>
      </c>
      <c r="BU4" s="130"/>
      <c r="BV4" s="124" t="s">
        <v>296</v>
      </c>
      <c r="BW4" s="124"/>
      <c r="BX4" s="130" t="s">
        <v>297</v>
      </c>
      <c r="BY4" s="130"/>
      <c r="BZ4" s="124" t="s">
        <v>296</v>
      </c>
      <c r="CA4" s="124"/>
      <c r="CB4" s="130" t="s">
        <v>297</v>
      </c>
      <c r="CC4" s="130"/>
      <c r="CD4" s="124" t="s">
        <v>296</v>
      </c>
      <c r="CE4" s="124"/>
      <c r="CF4" s="130" t="s">
        <v>297</v>
      </c>
      <c r="CG4" s="130"/>
      <c r="CH4" s="124" t="s">
        <v>296</v>
      </c>
      <c r="CI4" s="124"/>
      <c r="CJ4" s="130" t="s">
        <v>297</v>
      </c>
      <c r="CK4" s="130"/>
      <c r="CL4" s="124" t="s">
        <v>296</v>
      </c>
      <c r="CM4" s="124"/>
      <c r="CN4" s="130" t="s">
        <v>297</v>
      </c>
      <c r="CO4" s="130"/>
      <c r="CP4" s="124" t="s">
        <v>296</v>
      </c>
      <c r="CQ4" s="124"/>
      <c r="CR4" s="130" t="s">
        <v>297</v>
      </c>
      <c r="CS4" s="130"/>
      <c r="CT4" s="124" t="s">
        <v>296</v>
      </c>
      <c r="CU4" s="124"/>
      <c r="CV4" s="130" t="s">
        <v>297</v>
      </c>
      <c r="CW4" s="130"/>
      <c r="CX4" s="124" t="s">
        <v>296</v>
      </c>
      <c r="CY4" s="124"/>
      <c r="CZ4" s="130" t="s">
        <v>297</v>
      </c>
      <c r="DA4" s="130"/>
      <c r="DB4" s="124" t="s">
        <v>296</v>
      </c>
      <c r="DC4" s="124"/>
      <c r="DD4" s="130" t="s">
        <v>297</v>
      </c>
      <c r="DE4" s="130"/>
      <c r="DF4" s="124" t="s">
        <v>296</v>
      </c>
      <c r="DG4" s="124"/>
      <c r="DH4" s="130" t="s">
        <v>297</v>
      </c>
      <c r="DI4" s="130"/>
      <c r="DJ4" s="124" t="s">
        <v>296</v>
      </c>
      <c r="DK4" s="124"/>
      <c r="DL4" s="130" t="s">
        <v>297</v>
      </c>
      <c r="DM4" s="130"/>
      <c r="DN4" s="124" t="s">
        <v>296</v>
      </c>
      <c r="DO4" s="124"/>
      <c r="DP4" s="130" t="s">
        <v>297</v>
      </c>
      <c r="DQ4" s="130"/>
      <c r="DR4" s="124" t="s">
        <v>296</v>
      </c>
      <c r="DS4" s="124"/>
      <c r="DT4" s="130" t="s">
        <v>297</v>
      </c>
      <c r="DU4" s="130"/>
      <c r="DV4" s="124" t="s">
        <v>296</v>
      </c>
      <c r="DW4" s="124"/>
      <c r="DX4" s="130" t="s">
        <v>297</v>
      </c>
      <c r="DY4" s="130"/>
      <c r="DZ4" s="124" t="s">
        <v>296</v>
      </c>
      <c r="EA4" s="124"/>
      <c r="EB4" s="130" t="s">
        <v>297</v>
      </c>
      <c r="EC4" s="130"/>
    </row>
    <row r="5" spans="1:133" s="73" customFormat="1" x14ac:dyDescent="0.25">
      <c r="A5" s="72"/>
      <c r="B5" s="115" t="s">
        <v>124</v>
      </c>
      <c r="C5" s="114" t="s">
        <v>125</v>
      </c>
      <c r="D5" s="115" t="s">
        <v>124</v>
      </c>
      <c r="E5" s="114" t="s">
        <v>125</v>
      </c>
      <c r="F5" s="115" t="s">
        <v>124</v>
      </c>
      <c r="G5" s="114" t="s">
        <v>125</v>
      </c>
      <c r="H5" s="115" t="s">
        <v>124</v>
      </c>
      <c r="I5" s="114" t="s">
        <v>125</v>
      </c>
      <c r="J5" s="115" t="s">
        <v>124</v>
      </c>
      <c r="K5" s="114" t="s">
        <v>125</v>
      </c>
      <c r="L5" s="115" t="s">
        <v>124</v>
      </c>
      <c r="M5" s="114" t="s">
        <v>125</v>
      </c>
      <c r="N5" s="115" t="s">
        <v>124</v>
      </c>
      <c r="O5" s="114" t="s">
        <v>125</v>
      </c>
      <c r="P5" s="115" t="s">
        <v>124</v>
      </c>
      <c r="Q5" s="114" t="s">
        <v>125</v>
      </c>
      <c r="R5" s="115" t="s">
        <v>124</v>
      </c>
      <c r="S5" s="114" t="s">
        <v>125</v>
      </c>
      <c r="T5" s="115" t="s">
        <v>124</v>
      </c>
      <c r="U5" s="114" t="s">
        <v>125</v>
      </c>
      <c r="V5" s="115" t="s">
        <v>124</v>
      </c>
      <c r="W5" s="114" t="s">
        <v>125</v>
      </c>
      <c r="X5" s="115" t="s">
        <v>124</v>
      </c>
      <c r="Y5" s="114" t="s">
        <v>125</v>
      </c>
      <c r="Z5" s="115" t="s">
        <v>124</v>
      </c>
      <c r="AA5" s="114" t="s">
        <v>125</v>
      </c>
      <c r="AB5" s="115" t="s">
        <v>124</v>
      </c>
      <c r="AC5" s="114" t="s">
        <v>125</v>
      </c>
      <c r="AD5" s="115" t="s">
        <v>124</v>
      </c>
      <c r="AE5" s="114" t="s">
        <v>125</v>
      </c>
      <c r="AF5" s="115" t="s">
        <v>124</v>
      </c>
      <c r="AG5" s="114" t="s">
        <v>125</v>
      </c>
      <c r="AH5" s="115" t="s">
        <v>124</v>
      </c>
      <c r="AI5" s="114" t="s">
        <v>125</v>
      </c>
      <c r="AJ5" s="115" t="s">
        <v>124</v>
      </c>
      <c r="AK5" s="114" t="s">
        <v>125</v>
      </c>
      <c r="AL5" s="115" t="s">
        <v>124</v>
      </c>
      <c r="AM5" s="114" t="s">
        <v>125</v>
      </c>
      <c r="AN5" s="115" t="s">
        <v>124</v>
      </c>
      <c r="AO5" s="114" t="s">
        <v>125</v>
      </c>
      <c r="AP5" s="115" t="s">
        <v>124</v>
      </c>
      <c r="AQ5" s="114" t="s">
        <v>125</v>
      </c>
      <c r="AR5" s="115" t="s">
        <v>124</v>
      </c>
      <c r="AS5" s="114" t="s">
        <v>125</v>
      </c>
      <c r="AT5" s="115" t="s">
        <v>124</v>
      </c>
      <c r="AU5" s="115" t="s">
        <v>125</v>
      </c>
      <c r="AV5" s="115" t="s">
        <v>124</v>
      </c>
      <c r="AW5" s="115" t="s">
        <v>125</v>
      </c>
      <c r="AX5" s="115" t="s">
        <v>124</v>
      </c>
      <c r="AY5" s="114" t="s">
        <v>125</v>
      </c>
      <c r="AZ5" s="115" t="s">
        <v>124</v>
      </c>
      <c r="BA5" s="114" t="s">
        <v>125</v>
      </c>
      <c r="BB5" s="115" t="s">
        <v>124</v>
      </c>
      <c r="BC5" s="114" t="s">
        <v>125</v>
      </c>
      <c r="BD5" s="115" t="s">
        <v>124</v>
      </c>
      <c r="BE5" s="114" t="s">
        <v>125</v>
      </c>
      <c r="BF5" s="115" t="s">
        <v>124</v>
      </c>
      <c r="BG5" s="114" t="s">
        <v>125</v>
      </c>
      <c r="BH5" s="115" t="s">
        <v>124</v>
      </c>
      <c r="BI5" s="114" t="s">
        <v>125</v>
      </c>
      <c r="BJ5" s="115" t="s">
        <v>124</v>
      </c>
      <c r="BK5" s="114" t="s">
        <v>125</v>
      </c>
      <c r="BL5" s="115" t="s">
        <v>124</v>
      </c>
      <c r="BM5" s="114" t="s">
        <v>125</v>
      </c>
      <c r="BN5" s="115" t="s">
        <v>124</v>
      </c>
      <c r="BO5" s="114" t="s">
        <v>125</v>
      </c>
      <c r="BP5" s="115" t="s">
        <v>124</v>
      </c>
      <c r="BQ5" s="114" t="s">
        <v>125</v>
      </c>
      <c r="BR5" s="115" t="s">
        <v>124</v>
      </c>
      <c r="BS5" s="114" t="s">
        <v>125</v>
      </c>
      <c r="BT5" s="115" t="s">
        <v>124</v>
      </c>
      <c r="BU5" s="114" t="s">
        <v>125</v>
      </c>
      <c r="BV5" s="115" t="s">
        <v>124</v>
      </c>
      <c r="BW5" s="114" t="s">
        <v>125</v>
      </c>
      <c r="BX5" s="115" t="s">
        <v>124</v>
      </c>
      <c r="BY5" s="114" t="s">
        <v>125</v>
      </c>
      <c r="BZ5" s="115" t="s">
        <v>124</v>
      </c>
      <c r="CA5" s="114" t="s">
        <v>125</v>
      </c>
      <c r="CB5" s="115" t="s">
        <v>124</v>
      </c>
      <c r="CC5" s="114" t="s">
        <v>125</v>
      </c>
      <c r="CD5" s="115" t="s">
        <v>124</v>
      </c>
      <c r="CE5" s="114" t="s">
        <v>125</v>
      </c>
      <c r="CF5" s="115" t="s">
        <v>124</v>
      </c>
      <c r="CG5" s="114" t="s">
        <v>125</v>
      </c>
      <c r="CH5" s="115" t="s">
        <v>124</v>
      </c>
      <c r="CI5" s="114" t="s">
        <v>125</v>
      </c>
      <c r="CJ5" s="115" t="s">
        <v>124</v>
      </c>
      <c r="CK5" s="114" t="s">
        <v>125</v>
      </c>
      <c r="CL5" s="115" t="s">
        <v>124</v>
      </c>
      <c r="CM5" s="114" t="s">
        <v>125</v>
      </c>
      <c r="CN5" s="115" t="s">
        <v>124</v>
      </c>
      <c r="CO5" s="114" t="s">
        <v>125</v>
      </c>
      <c r="CP5" s="115" t="s">
        <v>124</v>
      </c>
      <c r="CQ5" s="114" t="s">
        <v>125</v>
      </c>
      <c r="CR5" s="115" t="s">
        <v>124</v>
      </c>
      <c r="CS5" s="114" t="s">
        <v>125</v>
      </c>
      <c r="CT5" s="115" t="s">
        <v>124</v>
      </c>
      <c r="CU5" s="114" t="s">
        <v>125</v>
      </c>
      <c r="CV5" s="115" t="s">
        <v>124</v>
      </c>
      <c r="CW5" s="114" t="s">
        <v>125</v>
      </c>
      <c r="CX5" s="115" t="s">
        <v>124</v>
      </c>
      <c r="CY5" s="114" t="s">
        <v>125</v>
      </c>
      <c r="CZ5" s="115" t="s">
        <v>124</v>
      </c>
      <c r="DA5" s="114" t="s">
        <v>125</v>
      </c>
      <c r="DB5" s="115" t="s">
        <v>124</v>
      </c>
      <c r="DC5" s="114" t="s">
        <v>125</v>
      </c>
      <c r="DD5" s="115" t="s">
        <v>124</v>
      </c>
      <c r="DE5" s="114" t="s">
        <v>125</v>
      </c>
      <c r="DF5" s="115" t="s">
        <v>124</v>
      </c>
      <c r="DG5" s="114" t="s">
        <v>125</v>
      </c>
      <c r="DH5" s="115" t="s">
        <v>124</v>
      </c>
      <c r="DI5" s="114" t="s">
        <v>125</v>
      </c>
      <c r="DJ5" s="115" t="s">
        <v>124</v>
      </c>
      <c r="DK5" s="114" t="s">
        <v>125</v>
      </c>
      <c r="DL5" s="115" t="s">
        <v>124</v>
      </c>
      <c r="DM5" s="114" t="s">
        <v>125</v>
      </c>
      <c r="DN5" s="115" t="s">
        <v>124</v>
      </c>
      <c r="DO5" s="114" t="s">
        <v>125</v>
      </c>
      <c r="DP5" s="115" t="s">
        <v>124</v>
      </c>
      <c r="DQ5" s="114" t="s">
        <v>125</v>
      </c>
      <c r="DR5" s="115" t="s">
        <v>124</v>
      </c>
      <c r="DS5" s="114" t="s">
        <v>125</v>
      </c>
      <c r="DT5" s="115" t="s">
        <v>124</v>
      </c>
      <c r="DU5" s="114" t="s">
        <v>125</v>
      </c>
      <c r="DV5" s="115" t="s">
        <v>124</v>
      </c>
      <c r="DW5" s="114" t="s">
        <v>125</v>
      </c>
      <c r="DX5" s="115" t="s">
        <v>124</v>
      </c>
      <c r="DY5" s="114" t="s">
        <v>125</v>
      </c>
      <c r="DZ5" s="115" t="s">
        <v>124</v>
      </c>
      <c r="EA5" s="114" t="s">
        <v>125</v>
      </c>
      <c r="EB5" s="115" t="s">
        <v>124</v>
      </c>
      <c r="EC5" s="114" t="s">
        <v>125</v>
      </c>
    </row>
    <row r="6" spans="1:133" x14ac:dyDescent="0.25">
      <c r="A6" s="108" t="s">
        <v>115</v>
      </c>
      <c r="B6" s="108"/>
      <c r="C6" s="108"/>
      <c r="D6" s="108"/>
      <c r="E6" s="108"/>
      <c r="F6" s="108">
        <v>40678</v>
      </c>
      <c r="G6" s="108">
        <v>4993</v>
      </c>
      <c r="H6" s="108">
        <v>65369</v>
      </c>
      <c r="I6" s="108">
        <v>8309</v>
      </c>
      <c r="J6" s="108"/>
      <c r="K6" s="108"/>
      <c r="L6" s="108"/>
      <c r="M6" s="108"/>
      <c r="N6" s="108">
        <v>927085</v>
      </c>
      <c r="O6" s="108">
        <v>56800</v>
      </c>
      <c r="P6" s="108">
        <v>1516787</v>
      </c>
      <c r="Q6" s="108">
        <v>105378</v>
      </c>
      <c r="R6" s="108">
        <v>78790</v>
      </c>
      <c r="S6" s="108">
        <v>5594</v>
      </c>
      <c r="T6" s="108">
        <v>139548</v>
      </c>
      <c r="U6" s="108">
        <v>10398</v>
      </c>
      <c r="V6" s="108">
        <v>17472</v>
      </c>
      <c r="W6" s="108">
        <v>1333</v>
      </c>
      <c r="X6" s="108">
        <v>26910</v>
      </c>
      <c r="Y6" s="108">
        <v>2717</v>
      </c>
      <c r="Z6" s="108"/>
      <c r="AA6" s="111"/>
      <c r="AB6" s="108"/>
      <c r="AC6" s="111"/>
      <c r="AD6" s="108">
        <v>2052</v>
      </c>
      <c r="AE6" s="108">
        <v>182.24</v>
      </c>
      <c r="AF6" s="108">
        <v>3192</v>
      </c>
      <c r="AG6" s="108">
        <v>299.3</v>
      </c>
      <c r="AH6" s="108">
        <v>283647</v>
      </c>
      <c r="AI6" s="108">
        <v>16946.13</v>
      </c>
      <c r="AJ6" s="108">
        <v>422823</v>
      </c>
      <c r="AK6" s="108">
        <v>30539.65</v>
      </c>
      <c r="AL6" s="108">
        <v>451699</v>
      </c>
      <c r="AM6" s="108">
        <v>12116</v>
      </c>
      <c r="AN6" s="108">
        <v>615749</v>
      </c>
      <c r="AO6" s="108">
        <v>21016</v>
      </c>
      <c r="AP6" s="108">
        <v>174302</v>
      </c>
      <c r="AQ6" s="108">
        <v>22351.599999999999</v>
      </c>
      <c r="AR6" s="108">
        <v>302270</v>
      </c>
      <c r="AS6" s="108">
        <v>37380.1</v>
      </c>
      <c r="AT6" s="108">
        <v>269851</v>
      </c>
      <c r="AU6" s="108">
        <v>40558</v>
      </c>
      <c r="AV6" s="108">
        <v>553576</v>
      </c>
      <c r="AW6" s="108">
        <v>69971</v>
      </c>
      <c r="AX6" s="108">
        <v>366468</v>
      </c>
      <c r="AY6" s="108">
        <v>42509</v>
      </c>
      <c r="AZ6" s="108">
        <v>622979</v>
      </c>
      <c r="BA6" s="108">
        <v>81419</v>
      </c>
      <c r="BB6" s="108">
        <v>1538695</v>
      </c>
      <c r="BC6" s="108">
        <v>51486.256110000002</v>
      </c>
      <c r="BD6" s="108">
        <v>2150203</v>
      </c>
      <c r="BE6" s="108">
        <v>86413.98156</v>
      </c>
      <c r="BF6" s="108">
        <v>2390</v>
      </c>
      <c r="BG6" s="108">
        <v>300.14999999999998</v>
      </c>
      <c r="BH6" s="108">
        <v>4403</v>
      </c>
      <c r="BI6" s="108">
        <v>541</v>
      </c>
      <c r="BJ6" s="108">
        <v>33510</v>
      </c>
      <c r="BK6" s="111">
        <v>2848</v>
      </c>
      <c r="BL6" s="108">
        <v>61074</v>
      </c>
      <c r="BM6" s="111">
        <v>5285</v>
      </c>
      <c r="BN6" s="108">
        <v>20506</v>
      </c>
      <c r="BO6" s="108">
        <v>1886</v>
      </c>
      <c r="BP6" s="108">
        <v>36675</v>
      </c>
      <c r="BQ6" s="108">
        <v>3495</v>
      </c>
      <c r="BR6" s="108">
        <v>35728</v>
      </c>
      <c r="BS6" s="108">
        <v>5401</v>
      </c>
      <c r="BT6" s="108">
        <v>63437</v>
      </c>
      <c r="BU6" s="108">
        <v>9504</v>
      </c>
      <c r="BV6" s="108">
        <v>84537</v>
      </c>
      <c r="BW6" s="108">
        <v>14980</v>
      </c>
      <c r="BX6" s="108">
        <v>148967</v>
      </c>
      <c r="BY6" s="108">
        <v>26764</v>
      </c>
      <c r="BZ6" s="104">
        <v>2107643</v>
      </c>
      <c r="CA6" s="131">
        <v>146653.12715399999</v>
      </c>
      <c r="CB6" s="132">
        <v>3735016</v>
      </c>
      <c r="CC6" s="131">
        <v>273346.54634740006</v>
      </c>
      <c r="CD6" s="108">
        <v>12052</v>
      </c>
      <c r="CE6" s="111">
        <v>203</v>
      </c>
      <c r="CF6" s="108">
        <v>20402</v>
      </c>
      <c r="CG6" s="111">
        <v>343</v>
      </c>
      <c r="CH6" s="108">
        <v>6746</v>
      </c>
      <c r="CI6" s="108">
        <v>789.41783169999997</v>
      </c>
      <c r="CJ6" s="108">
        <v>11076</v>
      </c>
      <c r="CK6" s="108">
        <v>1331.6334649999999</v>
      </c>
      <c r="CL6" s="108">
        <v>340606</v>
      </c>
      <c r="CM6" s="108">
        <v>28690</v>
      </c>
      <c r="CN6" s="108">
        <v>628544</v>
      </c>
      <c r="CO6" s="108">
        <v>56297</v>
      </c>
      <c r="CP6" s="108">
        <v>163755</v>
      </c>
      <c r="CQ6" s="108">
        <v>27530</v>
      </c>
      <c r="CR6" s="108">
        <v>278043</v>
      </c>
      <c r="CS6" s="108">
        <v>46341</v>
      </c>
      <c r="CT6" s="108">
        <v>123638</v>
      </c>
      <c r="CU6" s="108">
        <v>15738</v>
      </c>
      <c r="CV6" s="108">
        <v>202282</v>
      </c>
      <c r="CW6" s="108">
        <v>26502</v>
      </c>
      <c r="CX6" s="108">
        <v>71823</v>
      </c>
      <c r="CY6" s="108">
        <v>12622</v>
      </c>
      <c r="CZ6" s="108">
        <v>110603</v>
      </c>
      <c r="DA6" s="108">
        <v>18897</v>
      </c>
      <c r="DB6" s="108">
        <v>469503</v>
      </c>
      <c r="DC6" s="108">
        <v>19400.28</v>
      </c>
      <c r="DD6" s="108">
        <v>825693</v>
      </c>
      <c r="DE6" s="108">
        <v>33284.25</v>
      </c>
      <c r="DF6" s="108">
        <v>1751848</v>
      </c>
      <c r="DG6" s="108">
        <v>191053</v>
      </c>
      <c r="DH6" s="108">
        <v>2698087</v>
      </c>
      <c r="DI6" s="108">
        <v>310342</v>
      </c>
      <c r="DJ6" s="108">
        <v>347391</v>
      </c>
      <c r="DK6" s="108">
        <v>47561</v>
      </c>
      <c r="DL6" s="108">
        <v>596080</v>
      </c>
      <c r="DM6" s="108">
        <v>85414</v>
      </c>
      <c r="DN6" s="108"/>
      <c r="DO6" s="111"/>
      <c r="DP6" s="108">
        <v>3681659</v>
      </c>
      <c r="DQ6" s="111">
        <v>253018</v>
      </c>
      <c r="DR6" s="108">
        <v>2388915</v>
      </c>
      <c r="DS6" s="108">
        <v>120414.96</v>
      </c>
      <c r="DT6" s="108">
        <v>3576969</v>
      </c>
      <c r="DU6" s="108">
        <v>233803.09</v>
      </c>
      <c r="DV6" s="36">
        <v>3247090</v>
      </c>
      <c r="DW6" s="36">
        <v>186909</v>
      </c>
      <c r="DX6" s="36">
        <v>5750712</v>
      </c>
      <c r="DY6" s="36">
        <v>351749</v>
      </c>
      <c r="DZ6" s="108">
        <v>25455</v>
      </c>
      <c r="EA6" s="108">
        <v>2272</v>
      </c>
      <c r="EB6" s="108">
        <v>41020</v>
      </c>
      <c r="EC6" s="108">
        <v>4271</v>
      </c>
    </row>
    <row r="7" spans="1:133" x14ac:dyDescent="0.25">
      <c r="A7" s="108" t="s">
        <v>116</v>
      </c>
      <c r="B7" s="108">
        <v>1</v>
      </c>
      <c r="C7" s="108"/>
      <c r="D7" s="108">
        <v>2</v>
      </c>
      <c r="E7" s="108">
        <v>0</v>
      </c>
      <c r="F7" s="108">
        <v>91910</v>
      </c>
      <c r="G7" s="108">
        <v>12532</v>
      </c>
      <c r="H7" s="108">
        <v>188960</v>
      </c>
      <c r="I7" s="108">
        <v>21538</v>
      </c>
      <c r="J7" s="108"/>
      <c r="K7" s="108"/>
      <c r="L7" s="108"/>
      <c r="M7" s="108"/>
      <c r="N7" s="108">
        <v>2425212</v>
      </c>
      <c r="O7" s="108">
        <v>40935</v>
      </c>
      <c r="P7" s="108">
        <v>4078436</v>
      </c>
      <c r="Q7" s="108">
        <v>77364</v>
      </c>
      <c r="R7" s="108">
        <v>299835</v>
      </c>
      <c r="S7" s="108">
        <v>6648</v>
      </c>
      <c r="T7" s="108">
        <v>542463</v>
      </c>
      <c r="U7" s="108">
        <v>11826</v>
      </c>
      <c r="V7" s="108">
        <v>472955</v>
      </c>
      <c r="W7" s="108">
        <v>30149</v>
      </c>
      <c r="X7" s="108">
        <v>723055</v>
      </c>
      <c r="Y7" s="108">
        <v>53835</v>
      </c>
      <c r="Z7" s="108"/>
      <c r="AA7" s="111">
        <v>22.85</v>
      </c>
      <c r="AB7" s="108">
        <v>2</v>
      </c>
      <c r="AC7" s="111">
        <v>50.3</v>
      </c>
      <c r="AD7" s="108"/>
      <c r="AE7" s="108"/>
      <c r="AF7" s="108"/>
      <c r="AG7" s="108"/>
      <c r="AH7" s="108">
        <v>256183</v>
      </c>
      <c r="AI7" s="108">
        <v>4784.63</v>
      </c>
      <c r="AJ7" s="108">
        <v>475776</v>
      </c>
      <c r="AK7" s="108">
        <v>8585.6200000000008</v>
      </c>
      <c r="AL7" s="108">
        <v>1027</v>
      </c>
      <c r="AM7" s="108">
        <v>87</v>
      </c>
      <c r="AN7" s="108">
        <v>1634</v>
      </c>
      <c r="AO7" s="108">
        <v>155</v>
      </c>
      <c r="AP7" s="108">
        <v>514067</v>
      </c>
      <c r="AQ7" s="108">
        <v>33757.4</v>
      </c>
      <c r="AR7" s="108">
        <v>827813</v>
      </c>
      <c r="AS7" s="108">
        <v>55459.4</v>
      </c>
      <c r="AT7" s="108">
        <v>17670</v>
      </c>
      <c r="AU7" s="108">
        <v>7247</v>
      </c>
      <c r="AV7" s="108">
        <v>40008</v>
      </c>
      <c r="AW7" s="108">
        <v>13485</v>
      </c>
      <c r="AX7" s="108">
        <v>182396</v>
      </c>
      <c r="AY7" s="108">
        <v>34583</v>
      </c>
      <c r="AZ7" s="108">
        <v>346110</v>
      </c>
      <c r="BA7" s="108">
        <v>54300</v>
      </c>
      <c r="BB7" s="108">
        <v>74656</v>
      </c>
      <c r="BC7" s="108">
        <v>2069.859582</v>
      </c>
      <c r="BD7" s="108">
        <v>150188</v>
      </c>
      <c r="BE7" s="108">
        <v>4137.8695820000003</v>
      </c>
      <c r="BF7" s="108">
        <v>31346</v>
      </c>
      <c r="BG7" s="108">
        <v>4103.2</v>
      </c>
      <c r="BH7" s="108">
        <v>58782</v>
      </c>
      <c r="BI7" s="108">
        <v>7492</v>
      </c>
      <c r="BJ7" s="108">
        <v>30</v>
      </c>
      <c r="BK7" s="111"/>
      <c r="BL7" s="108">
        <v>47</v>
      </c>
      <c r="BM7" s="111">
        <v>1</v>
      </c>
      <c r="BN7" s="108">
        <v>2807</v>
      </c>
      <c r="BO7" s="108">
        <v>34</v>
      </c>
      <c r="BP7" s="108">
        <v>5232</v>
      </c>
      <c r="BQ7" s="108">
        <v>66</v>
      </c>
      <c r="BR7" s="108">
        <v>7735</v>
      </c>
      <c r="BS7" s="108">
        <v>3529</v>
      </c>
      <c r="BT7" s="108">
        <v>11329</v>
      </c>
      <c r="BU7" s="108">
        <v>5846</v>
      </c>
      <c r="BV7" s="108">
        <v>49111</v>
      </c>
      <c r="BW7" s="108">
        <v>9371</v>
      </c>
      <c r="BX7" s="108">
        <v>93131</v>
      </c>
      <c r="BY7" s="108">
        <v>15676</v>
      </c>
      <c r="BZ7" s="104">
        <v>11658</v>
      </c>
      <c r="CA7" s="131">
        <v>550.20285869999998</v>
      </c>
      <c r="CB7" s="132">
        <v>22321</v>
      </c>
      <c r="CC7" s="131">
        <v>1178.3944475999999</v>
      </c>
      <c r="CD7" s="108"/>
      <c r="CE7" s="111"/>
      <c r="CF7" s="108"/>
      <c r="CG7" s="111"/>
      <c r="CH7" s="108"/>
      <c r="CI7" s="108"/>
      <c r="CJ7" s="108"/>
      <c r="CK7" s="108"/>
      <c r="CL7" s="108">
        <v>106350</v>
      </c>
      <c r="CM7" s="108">
        <v>6180</v>
      </c>
      <c r="CN7" s="108">
        <v>203967</v>
      </c>
      <c r="CO7" s="108">
        <v>12020</v>
      </c>
      <c r="CP7" s="108">
        <v>37631</v>
      </c>
      <c r="CQ7" s="108">
        <v>13083</v>
      </c>
      <c r="CR7" s="108">
        <v>64436</v>
      </c>
      <c r="CS7" s="108">
        <v>20604</v>
      </c>
      <c r="CT7" s="108">
        <v>11096</v>
      </c>
      <c r="CU7" s="108">
        <v>1323</v>
      </c>
      <c r="CV7" s="108">
        <v>21071</v>
      </c>
      <c r="CW7" s="108">
        <v>2640</v>
      </c>
      <c r="CX7" s="108">
        <v>683165</v>
      </c>
      <c r="CY7" s="108">
        <v>56914</v>
      </c>
      <c r="CZ7" s="108">
        <v>1172834</v>
      </c>
      <c r="DA7" s="108">
        <v>88926</v>
      </c>
      <c r="DB7" s="108">
        <v>8845</v>
      </c>
      <c r="DC7" s="108">
        <v>373.57</v>
      </c>
      <c r="DD7" s="108">
        <v>15949</v>
      </c>
      <c r="DE7" s="108">
        <v>568.76</v>
      </c>
      <c r="DF7" s="108">
        <v>56801</v>
      </c>
      <c r="DG7" s="108">
        <v>5720</v>
      </c>
      <c r="DH7" s="108">
        <v>78734</v>
      </c>
      <c r="DI7" s="108">
        <v>8513</v>
      </c>
      <c r="DJ7" s="108">
        <v>490947</v>
      </c>
      <c r="DK7" s="108">
        <v>29554</v>
      </c>
      <c r="DL7" s="108">
        <v>870645</v>
      </c>
      <c r="DM7" s="108">
        <v>47125</v>
      </c>
      <c r="DN7" s="108"/>
      <c r="DO7" s="111"/>
      <c r="DP7" s="108">
        <v>114651</v>
      </c>
      <c r="DQ7" s="111">
        <v>7292</v>
      </c>
      <c r="DR7" s="108">
        <v>128408</v>
      </c>
      <c r="DS7" s="108">
        <v>6911.59</v>
      </c>
      <c r="DT7" s="108">
        <v>197228</v>
      </c>
      <c r="DU7" s="108">
        <v>13253.87</v>
      </c>
      <c r="DV7" s="36">
        <v>115976</v>
      </c>
      <c r="DW7" s="36">
        <v>7820</v>
      </c>
      <c r="DX7" s="36">
        <v>219048</v>
      </c>
      <c r="DY7" s="36">
        <v>22085</v>
      </c>
      <c r="DZ7" s="108">
        <v>160640</v>
      </c>
      <c r="EA7" s="108">
        <v>7953</v>
      </c>
      <c r="EB7" s="108">
        <v>281863</v>
      </c>
      <c r="EC7" s="108">
        <v>17919</v>
      </c>
    </row>
    <row r="8" spans="1:133" x14ac:dyDescent="0.25">
      <c r="A8" s="108" t="s">
        <v>117</v>
      </c>
      <c r="B8" s="108">
        <v>35316</v>
      </c>
      <c r="C8" s="108">
        <v>964</v>
      </c>
      <c r="D8" s="108">
        <v>52898</v>
      </c>
      <c r="E8" s="108">
        <v>1536</v>
      </c>
      <c r="F8" s="108">
        <v>1305</v>
      </c>
      <c r="G8" s="108">
        <v>3878</v>
      </c>
      <c r="H8" s="108">
        <v>2276</v>
      </c>
      <c r="I8" s="108">
        <v>6783</v>
      </c>
      <c r="J8" s="108"/>
      <c r="K8" s="108"/>
      <c r="L8" s="108"/>
      <c r="M8" s="108"/>
      <c r="N8" s="108"/>
      <c r="O8" s="108"/>
      <c r="P8" s="108"/>
      <c r="Q8" s="108"/>
      <c r="R8" s="108">
        <v>231170</v>
      </c>
      <c r="S8" s="108">
        <v>2159</v>
      </c>
      <c r="T8" s="108">
        <v>335952</v>
      </c>
      <c r="U8" s="108">
        <v>2758</v>
      </c>
      <c r="V8" s="108">
        <v>798375</v>
      </c>
      <c r="W8" s="108">
        <v>44515</v>
      </c>
      <c r="X8" s="108">
        <v>1400528</v>
      </c>
      <c r="Y8" s="108">
        <v>78714</v>
      </c>
      <c r="Z8" s="108"/>
      <c r="AA8" s="111"/>
      <c r="AB8" s="108"/>
      <c r="AC8" s="111"/>
      <c r="AD8" s="108">
        <v>7130</v>
      </c>
      <c r="AE8" s="108">
        <v>236.26</v>
      </c>
      <c r="AF8" s="108">
        <v>8568</v>
      </c>
      <c r="AG8" s="108">
        <v>360.62</v>
      </c>
      <c r="AH8" s="108">
        <v>13765</v>
      </c>
      <c r="AI8" s="108">
        <v>336.24</v>
      </c>
      <c r="AJ8" s="108">
        <v>20440</v>
      </c>
      <c r="AK8" s="108">
        <v>546.9</v>
      </c>
      <c r="AL8" s="108">
        <v>7881</v>
      </c>
      <c r="AM8" s="108">
        <v>761</v>
      </c>
      <c r="AN8" s="108">
        <v>13177</v>
      </c>
      <c r="AO8" s="108">
        <v>2087</v>
      </c>
      <c r="AP8" s="108">
        <v>95834</v>
      </c>
      <c r="AQ8" s="108">
        <v>14143.2</v>
      </c>
      <c r="AR8" s="108">
        <v>154485</v>
      </c>
      <c r="AS8" s="108">
        <v>19499.099999999999</v>
      </c>
      <c r="AT8" s="108">
        <v>939</v>
      </c>
      <c r="AU8" s="108">
        <v>884</v>
      </c>
      <c r="AV8" s="108">
        <v>1746</v>
      </c>
      <c r="AW8" s="108">
        <v>1410</v>
      </c>
      <c r="AX8" s="108">
        <v>63910</v>
      </c>
      <c r="AY8" s="108">
        <v>10215</v>
      </c>
      <c r="AZ8" s="108">
        <v>106581</v>
      </c>
      <c r="BA8" s="108">
        <v>15919</v>
      </c>
      <c r="BB8" s="108">
        <v>26650</v>
      </c>
      <c r="BC8" s="108">
        <v>1176.001242</v>
      </c>
      <c r="BD8" s="108">
        <v>26803</v>
      </c>
      <c r="BE8" s="108">
        <v>1190.6512419999999</v>
      </c>
      <c r="BF8" s="108">
        <v>19340</v>
      </c>
      <c r="BG8" s="108">
        <v>629.89</v>
      </c>
      <c r="BH8" s="108">
        <v>33590</v>
      </c>
      <c r="BI8" s="108">
        <v>1060</v>
      </c>
      <c r="BJ8" s="108">
        <v>4436</v>
      </c>
      <c r="BK8" s="111">
        <v>593</v>
      </c>
      <c r="BL8" s="108">
        <v>5838</v>
      </c>
      <c r="BM8" s="111">
        <v>778</v>
      </c>
      <c r="BN8" s="108">
        <v>29082</v>
      </c>
      <c r="BO8" s="108">
        <v>3063</v>
      </c>
      <c r="BP8" s="108">
        <v>58430</v>
      </c>
      <c r="BQ8" s="108">
        <v>5715</v>
      </c>
      <c r="BR8" s="108">
        <v>4574</v>
      </c>
      <c r="BS8" s="108">
        <v>622</v>
      </c>
      <c r="BT8" s="108">
        <v>8326</v>
      </c>
      <c r="BU8" s="108">
        <v>1096</v>
      </c>
      <c r="BV8" s="108">
        <v>133</v>
      </c>
      <c r="BW8" s="108">
        <v>2299</v>
      </c>
      <c r="BX8" s="108">
        <v>269</v>
      </c>
      <c r="BY8" s="108">
        <v>2416</v>
      </c>
      <c r="BZ8" s="104">
        <v>801094</v>
      </c>
      <c r="CA8" s="131">
        <v>10112.652193400001</v>
      </c>
      <c r="CB8" s="132">
        <v>1501736</v>
      </c>
      <c r="CC8" s="131">
        <v>17315.137625700001</v>
      </c>
      <c r="CD8" s="108">
        <v>20833</v>
      </c>
      <c r="CE8" s="111">
        <v>1297</v>
      </c>
      <c r="CF8" s="108">
        <v>22310</v>
      </c>
      <c r="CG8" s="111">
        <v>1375</v>
      </c>
      <c r="CH8" s="108"/>
      <c r="CI8" s="108"/>
      <c r="CJ8" s="108"/>
      <c r="CK8" s="108"/>
      <c r="CL8" s="108">
        <v>35368</v>
      </c>
      <c r="CM8" s="108">
        <v>7143</v>
      </c>
      <c r="CN8" s="108">
        <v>61246</v>
      </c>
      <c r="CO8" s="108">
        <v>12503</v>
      </c>
      <c r="CP8" s="108">
        <v>5475</v>
      </c>
      <c r="CQ8" s="108">
        <v>2333</v>
      </c>
      <c r="CR8" s="108">
        <v>9962</v>
      </c>
      <c r="CS8" s="108">
        <v>3010</v>
      </c>
      <c r="CT8" s="108">
        <v>37732</v>
      </c>
      <c r="CU8" s="108">
        <v>8685</v>
      </c>
      <c r="CV8" s="108">
        <v>74994</v>
      </c>
      <c r="CW8" s="108">
        <v>16965</v>
      </c>
      <c r="CX8" s="108">
        <v>21601</v>
      </c>
      <c r="CY8" s="108">
        <v>1675</v>
      </c>
      <c r="CZ8" s="108">
        <v>36268</v>
      </c>
      <c r="DA8" s="108">
        <v>2777</v>
      </c>
      <c r="DB8" s="108">
        <v>127067</v>
      </c>
      <c r="DC8" s="108">
        <v>25742.19</v>
      </c>
      <c r="DD8" s="108">
        <v>242467</v>
      </c>
      <c r="DE8" s="108">
        <v>50248.27</v>
      </c>
      <c r="DF8" s="108">
        <v>5416</v>
      </c>
      <c r="DG8" s="108">
        <v>552</v>
      </c>
      <c r="DH8" s="108">
        <v>8430</v>
      </c>
      <c r="DI8" s="108">
        <v>956</v>
      </c>
      <c r="DJ8" s="108">
        <v>84499</v>
      </c>
      <c r="DK8" s="108">
        <v>4516</v>
      </c>
      <c r="DL8" s="108">
        <v>177533</v>
      </c>
      <c r="DM8" s="108">
        <v>7948</v>
      </c>
      <c r="DN8" s="108"/>
      <c r="DO8" s="111"/>
      <c r="DP8" s="108">
        <v>812359</v>
      </c>
      <c r="DQ8" s="111">
        <v>51630</v>
      </c>
      <c r="DR8" s="108">
        <v>22989</v>
      </c>
      <c r="DS8" s="108">
        <v>1090.69</v>
      </c>
      <c r="DT8" s="108">
        <v>38140</v>
      </c>
      <c r="DU8" s="108">
        <v>1653.9</v>
      </c>
      <c r="DV8" s="36">
        <v>10546</v>
      </c>
      <c r="DW8" s="36">
        <v>2302</v>
      </c>
      <c r="DX8" s="36">
        <v>18059</v>
      </c>
      <c r="DY8" s="36">
        <v>3844</v>
      </c>
      <c r="DZ8" s="108">
        <v>459</v>
      </c>
      <c r="EA8" s="108">
        <v>119</v>
      </c>
      <c r="EB8" s="108">
        <v>703</v>
      </c>
      <c r="EC8" s="108">
        <v>199</v>
      </c>
    </row>
    <row r="9" spans="1:133" x14ac:dyDescent="0.25">
      <c r="A9" s="108" t="s">
        <v>118</v>
      </c>
      <c r="B9" s="108">
        <v>39162</v>
      </c>
      <c r="C9" s="108">
        <v>1943</v>
      </c>
      <c r="D9" s="108">
        <v>83360</v>
      </c>
      <c r="E9" s="108">
        <v>3320</v>
      </c>
      <c r="F9" s="108">
        <v>10357</v>
      </c>
      <c r="G9" s="108">
        <v>6568</v>
      </c>
      <c r="H9" s="108">
        <v>17882</v>
      </c>
      <c r="I9" s="108">
        <v>13488</v>
      </c>
      <c r="J9" s="108">
        <v>-94899</v>
      </c>
      <c r="K9" s="111">
        <v>-2214.96</v>
      </c>
      <c r="L9" s="108">
        <v>530434</v>
      </c>
      <c r="M9" s="111">
        <v>5171.21</v>
      </c>
      <c r="N9" s="108">
        <v>2250219</v>
      </c>
      <c r="O9" s="108">
        <v>165664</v>
      </c>
      <c r="P9" s="108">
        <v>3022421</v>
      </c>
      <c r="Q9" s="108">
        <v>256351</v>
      </c>
      <c r="R9" s="108">
        <v>625111</v>
      </c>
      <c r="S9" s="108">
        <v>30290</v>
      </c>
      <c r="T9" s="108">
        <v>1207046</v>
      </c>
      <c r="U9" s="108">
        <v>62510</v>
      </c>
      <c r="V9" s="108">
        <v>264784</v>
      </c>
      <c r="W9" s="108">
        <v>26625</v>
      </c>
      <c r="X9" s="108">
        <v>375658</v>
      </c>
      <c r="Y9" s="108">
        <v>45658</v>
      </c>
      <c r="Z9" s="108">
        <v>196</v>
      </c>
      <c r="AA9" s="111">
        <v>2408.0100000000002</v>
      </c>
      <c r="AB9" s="108">
        <v>263</v>
      </c>
      <c r="AC9" s="111">
        <v>4097.6899999999996</v>
      </c>
      <c r="AD9" s="108">
        <v>9712</v>
      </c>
      <c r="AE9" s="108">
        <v>3265.58</v>
      </c>
      <c r="AF9" s="108">
        <v>16192</v>
      </c>
      <c r="AG9" s="108">
        <v>5220.5</v>
      </c>
      <c r="AH9" s="108">
        <v>147639</v>
      </c>
      <c r="AI9" s="108">
        <v>22017.38</v>
      </c>
      <c r="AJ9" s="108">
        <v>236323</v>
      </c>
      <c r="AK9" s="108">
        <v>47239.67</v>
      </c>
      <c r="AL9" s="108">
        <v>358330</v>
      </c>
      <c r="AM9" s="108">
        <v>23611</v>
      </c>
      <c r="AN9" s="108">
        <v>474423</v>
      </c>
      <c r="AO9" s="108">
        <v>37587</v>
      </c>
      <c r="AP9" s="108">
        <v>774805</v>
      </c>
      <c r="AQ9" s="108">
        <v>71613</v>
      </c>
      <c r="AR9" s="108">
        <v>1252073</v>
      </c>
      <c r="AS9" s="108">
        <v>152434</v>
      </c>
      <c r="AT9" s="108">
        <v>19532</v>
      </c>
      <c r="AU9" s="108">
        <v>3221</v>
      </c>
      <c r="AV9" s="108">
        <v>41821</v>
      </c>
      <c r="AW9" s="108">
        <v>6008</v>
      </c>
      <c r="AX9" s="108">
        <v>2432917</v>
      </c>
      <c r="AY9" s="108">
        <v>152191</v>
      </c>
      <c r="AZ9" s="108">
        <v>4522180</v>
      </c>
      <c r="BA9" s="108">
        <v>323039</v>
      </c>
      <c r="BB9" s="108">
        <v>987522</v>
      </c>
      <c r="BC9" s="108">
        <v>122266.43670000001</v>
      </c>
      <c r="BD9" s="108">
        <v>1160002</v>
      </c>
      <c r="BE9" s="108">
        <v>184849.96669999999</v>
      </c>
      <c r="BF9" s="108">
        <v>274389</v>
      </c>
      <c r="BG9" s="108">
        <v>3194.9</v>
      </c>
      <c r="BH9" s="108">
        <v>300432</v>
      </c>
      <c r="BI9" s="108">
        <v>5086</v>
      </c>
      <c r="BJ9" s="108">
        <v>332332</v>
      </c>
      <c r="BK9" s="111">
        <v>23475</v>
      </c>
      <c r="BL9" s="108">
        <v>580338</v>
      </c>
      <c r="BM9" s="111">
        <v>47412</v>
      </c>
      <c r="BN9" s="108">
        <v>141194</v>
      </c>
      <c r="BO9" s="108">
        <v>13787</v>
      </c>
      <c r="BP9" s="108">
        <v>209094</v>
      </c>
      <c r="BQ9" s="108">
        <v>23220</v>
      </c>
      <c r="BR9" s="108">
        <v>25342</v>
      </c>
      <c r="BS9" s="108">
        <v>5168</v>
      </c>
      <c r="BT9" s="108">
        <v>45925</v>
      </c>
      <c r="BU9" s="108">
        <v>9671</v>
      </c>
      <c r="BV9" s="108">
        <v>61119</v>
      </c>
      <c r="BW9" s="108">
        <v>7144</v>
      </c>
      <c r="BX9" s="108">
        <v>100559</v>
      </c>
      <c r="BY9" s="108">
        <v>13365</v>
      </c>
      <c r="BZ9" s="132">
        <v>315268</v>
      </c>
      <c r="CA9" s="131">
        <v>73046.567970599994</v>
      </c>
      <c r="CB9" s="132">
        <v>630741</v>
      </c>
      <c r="CC9" s="131">
        <v>153533.7622157</v>
      </c>
      <c r="CD9" s="108">
        <v>26468</v>
      </c>
      <c r="CE9" s="111">
        <v>538</v>
      </c>
      <c r="CF9" s="108">
        <v>36699</v>
      </c>
      <c r="CG9" s="111">
        <v>840</v>
      </c>
      <c r="CH9" s="108">
        <v>15615</v>
      </c>
      <c r="CI9" s="108">
        <v>3726.1915840000001</v>
      </c>
      <c r="CJ9" s="108">
        <v>24697</v>
      </c>
      <c r="CK9" s="108">
        <v>6162.5100050000001</v>
      </c>
      <c r="CL9" s="108">
        <v>543784</v>
      </c>
      <c r="CM9" s="108">
        <v>54689</v>
      </c>
      <c r="CN9" s="108">
        <v>952009</v>
      </c>
      <c r="CO9" s="108">
        <v>124033</v>
      </c>
      <c r="CP9" s="108">
        <v>63109</v>
      </c>
      <c r="CQ9" s="108">
        <v>16707</v>
      </c>
      <c r="CR9" s="108">
        <v>120105</v>
      </c>
      <c r="CS9" s="108">
        <v>32726</v>
      </c>
      <c r="CT9" s="108">
        <v>181399</v>
      </c>
      <c r="CU9" s="108">
        <v>29288</v>
      </c>
      <c r="CV9" s="108">
        <v>337247</v>
      </c>
      <c r="CW9" s="108">
        <v>59335</v>
      </c>
      <c r="CX9" s="108">
        <v>155979</v>
      </c>
      <c r="CY9" s="108">
        <v>41564</v>
      </c>
      <c r="CZ9" s="108">
        <v>238697</v>
      </c>
      <c r="DA9" s="108">
        <v>87984</v>
      </c>
      <c r="DB9" s="108">
        <v>122162</v>
      </c>
      <c r="DC9" s="108">
        <v>5588.49</v>
      </c>
      <c r="DD9" s="108">
        <v>189862</v>
      </c>
      <c r="DE9" s="108">
        <v>10248.39</v>
      </c>
      <c r="DF9" s="108">
        <v>42645</v>
      </c>
      <c r="DG9" s="108">
        <v>18067</v>
      </c>
      <c r="DH9" s="108">
        <v>72400</v>
      </c>
      <c r="DI9" s="108">
        <v>30449</v>
      </c>
      <c r="DJ9" s="108">
        <v>877021</v>
      </c>
      <c r="DK9" s="108">
        <v>78158</v>
      </c>
      <c r="DL9" s="108">
        <v>1535385</v>
      </c>
      <c r="DM9" s="108">
        <v>164480</v>
      </c>
      <c r="DN9" s="108"/>
      <c r="DO9" s="111"/>
      <c r="DP9" s="108">
        <v>374403</v>
      </c>
      <c r="DQ9" s="111">
        <v>179769</v>
      </c>
      <c r="DR9" s="108">
        <v>262216</v>
      </c>
      <c r="DS9" s="108">
        <v>57525.78</v>
      </c>
      <c r="DT9" s="108">
        <v>419409</v>
      </c>
      <c r="DU9" s="108">
        <v>129984.03</v>
      </c>
      <c r="DV9" s="36">
        <v>343027</v>
      </c>
      <c r="DW9" s="36">
        <v>66922</v>
      </c>
      <c r="DX9" s="36">
        <v>607984</v>
      </c>
      <c r="DY9" s="36">
        <v>152698</v>
      </c>
      <c r="DZ9" s="108">
        <v>174116</v>
      </c>
      <c r="EA9" s="108">
        <v>16933</v>
      </c>
      <c r="EB9" s="108">
        <v>305914</v>
      </c>
      <c r="EC9" s="108">
        <v>39096</v>
      </c>
    </row>
    <row r="10" spans="1:133" x14ac:dyDescent="0.25">
      <c r="A10" s="108" t="s">
        <v>119</v>
      </c>
      <c r="B10" s="108"/>
      <c r="C10" s="108"/>
      <c r="D10" s="108"/>
      <c r="E10" s="108"/>
      <c r="F10" s="108"/>
      <c r="G10" s="108"/>
      <c r="H10" s="108"/>
      <c r="I10" s="108"/>
      <c r="J10" s="108">
        <v>10921</v>
      </c>
      <c r="K10" s="111">
        <v>342.01</v>
      </c>
      <c r="L10" s="108">
        <v>18674</v>
      </c>
      <c r="M10" s="111">
        <v>526.65</v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11"/>
      <c r="AB10" s="108"/>
      <c r="AC10" s="111"/>
      <c r="AD10" s="108"/>
      <c r="AE10" s="108"/>
      <c r="AF10" s="108"/>
      <c r="AG10" s="108"/>
      <c r="AH10" s="108"/>
      <c r="AI10" s="108"/>
      <c r="AJ10" s="108"/>
      <c r="AK10" s="108"/>
      <c r="AL10" s="108">
        <v>490942</v>
      </c>
      <c r="AM10" s="108">
        <v>17748</v>
      </c>
      <c r="AN10" s="108">
        <v>675146</v>
      </c>
      <c r="AO10" s="108">
        <v>32606</v>
      </c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>
        <v>32</v>
      </c>
      <c r="BC10" s="108">
        <v>0.55656000000000005</v>
      </c>
      <c r="BD10" s="108">
        <v>32</v>
      </c>
      <c r="BE10" s="108">
        <v>0.55656000000000005</v>
      </c>
      <c r="BF10" s="108">
        <v>878</v>
      </c>
      <c r="BG10" s="108">
        <v>2.29</v>
      </c>
      <c r="BH10" s="108">
        <v>2250</v>
      </c>
      <c r="BI10" s="108">
        <v>10.24</v>
      </c>
      <c r="BJ10" s="108"/>
      <c r="BK10" s="111"/>
      <c r="BL10" s="108"/>
      <c r="BM10" s="111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30"/>
      <c r="CA10" s="30"/>
      <c r="CB10" s="30"/>
      <c r="CC10" s="30"/>
      <c r="CD10" s="108"/>
      <c r="CE10" s="111"/>
      <c r="CF10" s="108"/>
      <c r="CG10" s="111"/>
      <c r="CH10" s="108"/>
      <c r="CI10" s="108"/>
      <c r="CJ10" s="108"/>
      <c r="CK10" s="108"/>
      <c r="CL10" s="108"/>
      <c r="CM10" s="108"/>
      <c r="CN10" s="108"/>
      <c r="CO10" s="108"/>
      <c r="CP10" s="108">
        <v>5</v>
      </c>
      <c r="CQ10" s="108">
        <v>430</v>
      </c>
      <c r="CR10" s="108">
        <v>5</v>
      </c>
      <c r="CS10" s="108">
        <v>438</v>
      </c>
      <c r="CT10" s="108">
        <v>12</v>
      </c>
      <c r="CU10" s="108"/>
      <c r="CV10" s="108">
        <v>28</v>
      </c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11"/>
      <c r="DP10" s="108">
        <v>36</v>
      </c>
      <c r="DQ10" s="111">
        <v>1</v>
      </c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</row>
    <row r="11" spans="1:133" x14ac:dyDescent="0.25">
      <c r="A11" s="108" t="s">
        <v>120</v>
      </c>
      <c r="B11" s="108">
        <v>174491</v>
      </c>
      <c r="C11" s="108">
        <v>6299</v>
      </c>
      <c r="D11" s="108">
        <v>258922</v>
      </c>
      <c r="E11" s="108">
        <v>9910</v>
      </c>
      <c r="F11" s="108">
        <v>21451</v>
      </c>
      <c r="G11" s="108">
        <v>2472</v>
      </c>
      <c r="H11" s="108">
        <v>43262</v>
      </c>
      <c r="I11" s="108">
        <v>4883</v>
      </c>
      <c r="J11" s="108">
        <v>6714</v>
      </c>
      <c r="K11" s="111">
        <v>239.83</v>
      </c>
      <c r="L11" s="108">
        <v>53302</v>
      </c>
      <c r="M11" s="111">
        <v>732.75</v>
      </c>
      <c r="N11" s="108">
        <v>679488</v>
      </c>
      <c r="O11" s="108">
        <v>143953</v>
      </c>
      <c r="P11" s="108">
        <v>1165393</v>
      </c>
      <c r="Q11" s="108">
        <v>190168</v>
      </c>
      <c r="R11" s="108">
        <v>140543</v>
      </c>
      <c r="S11" s="108">
        <v>60013</v>
      </c>
      <c r="T11" s="108">
        <v>260690</v>
      </c>
      <c r="U11" s="108">
        <v>68104</v>
      </c>
      <c r="V11" s="108">
        <v>53741</v>
      </c>
      <c r="W11" s="108">
        <v>6495</v>
      </c>
      <c r="X11" s="108">
        <v>80259</v>
      </c>
      <c r="Y11" s="108">
        <v>14170</v>
      </c>
      <c r="Z11" s="108">
        <v>1382</v>
      </c>
      <c r="AA11" s="111">
        <v>8420.19</v>
      </c>
      <c r="AB11" s="108">
        <v>2012</v>
      </c>
      <c r="AC11" s="111">
        <v>12960.14</v>
      </c>
      <c r="AD11" s="108">
        <v>6963</v>
      </c>
      <c r="AE11" s="108">
        <v>767.87</v>
      </c>
      <c r="AF11" s="108">
        <v>11012</v>
      </c>
      <c r="AG11" s="108">
        <v>1290.05</v>
      </c>
      <c r="AH11" s="108">
        <v>144050</v>
      </c>
      <c r="AI11" s="108">
        <v>46665.88</v>
      </c>
      <c r="AJ11" s="108">
        <v>226544</v>
      </c>
      <c r="AK11" s="108">
        <v>69770.69</v>
      </c>
      <c r="AL11" s="108"/>
      <c r="AM11" s="108"/>
      <c r="AN11" s="108"/>
      <c r="AO11" s="108"/>
      <c r="AP11" s="108">
        <v>229314</v>
      </c>
      <c r="AQ11" s="108">
        <v>177355.7</v>
      </c>
      <c r="AR11" s="108">
        <v>378648</v>
      </c>
      <c r="AS11" s="108">
        <v>197882.5</v>
      </c>
      <c r="AT11" s="108">
        <v>31233</v>
      </c>
      <c r="AU11" s="108">
        <v>4871</v>
      </c>
      <c r="AV11" s="108">
        <v>75494</v>
      </c>
      <c r="AW11" s="108">
        <v>8784</v>
      </c>
      <c r="AX11" s="108">
        <v>315428</v>
      </c>
      <c r="AY11" s="108">
        <f>6704+45604</f>
        <v>52308</v>
      </c>
      <c r="AZ11" s="108">
        <f>398267+211444</f>
        <v>609711</v>
      </c>
      <c r="BA11" s="108">
        <f>12420+117952</f>
        <v>130372</v>
      </c>
      <c r="BB11" s="108">
        <v>128399</v>
      </c>
      <c r="BC11" s="108">
        <v>103543.7622</v>
      </c>
      <c r="BD11" s="108">
        <v>221323</v>
      </c>
      <c r="BE11" s="108">
        <v>146201.99460000001</v>
      </c>
      <c r="BF11" s="108">
        <v>206114</v>
      </c>
      <c r="BG11" s="108">
        <v>4031.25</v>
      </c>
      <c r="BH11" s="108">
        <v>427777</v>
      </c>
      <c r="BI11" s="108">
        <v>6403</v>
      </c>
      <c r="BJ11" s="108">
        <v>62601</v>
      </c>
      <c r="BK11" s="111">
        <v>1664</v>
      </c>
      <c r="BL11" s="108">
        <v>79354</v>
      </c>
      <c r="BM11" s="111">
        <v>3830</v>
      </c>
      <c r="BN11" s="108">
        <v>25849</v>
      </c>
      <c r="BO11" s="108">
        <v>2460</v>
      </c>
      <c r="BP11" s="108">
        <v>44912</v>
      </c>
      <c r="BQ11" s="108">
        <v>3840</v>
      </c>
      <c r="BR11" s="108">
        <v>14438</v>
      </c>
      <c r="BS11" s="108">
        <v>3890</v>
      </c>
      <c r="BT11" s="108">
        <v>28473</v>
      </c>
      <c r="BU11" s="108">
        <v>6801</v>
      </c>
      <c r="BV11" s="108">
        <v>44838</v>
      </c>
      <c r="BW11" s="108">
        <v>7531</v>
      </c>
      <c r="BX11" s="108">
        <v>74237</v>
      </c>
      <c r="BY11" s="108">
        <v>13706</v>
      </c>
      <c r="BZ11" s="133">
        <v>94087</v>
      </c>
      <c r="CA11" s="131">
        <v>207773.14</v>
      </c>
      <c r="CB11" s="133">
        <v>163863</v>
      </c>
      <c r="CC11" s="131">
        <v>249096.95999999999</v>
      </c>
      <c r="CD11" s="108">
        <f>597+6589</f>
        <v>7186</v>
      </c>
      <c r="CE11" s="111">
        <f>18+190</f>
        <v>208</v>
      </c>
      <c r="CF11" s="108">
        <f>9690+2117</f>
        <v>11807</v>
      </c>
      <c r="CG11" s="111">
        <v>443</v>
      </c>
      <c r="CH11" s="108">
        <v>5047</v>
      </c>
      <c r="CI11" s="108">
        <v>835.24881849999997</v>
      </c>
      <c r="CJ11" s="108">
        <v>8607</v>
      </c>
      <c r="CK11" s="108">
        <v>1544</v>
      </c>
      <c r="CL11" s="108">
        <v>122739</v>
      </c>
      <c r="CM11" s="108">
        <v>154919</v>
      </c>
      <c r="CN11" s="108">
        <v>228257</v>
      </c>
      <c r="CO11" s="108">
        <v>222728</v>
      </c>
      <c r="CP11" s="108">
        <v>33123</v>
      </c>
      <c r="CQ11" s="108">
        <v>5772</v>
      </c>
      <c r="CR11" s="108">
        <v>62520</v>
      </c>
      <c r="CS11" s="108">
        <v>10899</v>
      </c>
      <c r="CT11" s="108">
        <v>103184</v>
      </c>
      <c r="CU11" s="108">
        <v>8509</v>
      </c>
      <c r="CV11" s="108">
        <v>184903</v>
      </c>
      <c r="CW11" s="108">
        <v>16546</v>
      </c>
      <c r="CX11" s="108">
        <v>-72600</v>
      </c>
      <c r="CY11" s="108">
        <v>128621</v>
      </c>
      <c r="CZ11" s="108">
        <v>-26781</v>
      </c>
      <c r="DA11" s="108">
        <v>163278</v>
      </c>
      <c r="DB11" s="108">
        <v>264272</v>
      </c>
      <c r="DC11" s="108">
        <v>3905.36</v>
      </c>
      <c r="DD11" s="108">
        <v>413884</v>
      </c>
      <c r="DE11" s="108">
        <v>6365.5</v>
      </c>
      <c r="DF11" s="108">
        <v>181326</v>
      </c>
      <c r="DG11" s="108">
        <v>21495</v>
      </c>
      <c r="DH11" s="108">
        <v>296979</v>
      </c>
      <c r="DI11" s="108">
        <v>36962</v>
      </c>
      <c r="DJ11" s="108">
        <v>327392</v>
      </c>
      <c r="DK11" s="108">
        <v>21277</v>
      </c>
      <c r="DL11" s="108">
        <v>465616</v>
      </c>
      <c r="DM11" s="108">
        <v>46419</v>
      </c>
      <c r="DN11" s="108"/>
      <c r="DO11" s="111"/>
      <c r="DP11" s="108">
        <v>3317507</v>
      </c>
      <c r="DQ11" s="111">
        <v>179094</v>
      </c>
      <c r="DR11" s="108">
        <v>107473</v>
      </c>
      <c r="DS11" s="108">
        <v>150370</v>
      </c>
      <c r="DT11" s="108">
        <v>228242</v>
      </c>
      <c r="DU11" s="108">
        <v>235158</v>
      </c>
      <c r="DV11" s="36">
        <v>155804</v>
      </c>
      <c r="DW11" s="36">
        <v>106557</v>
      </c>
      <c r="DX11" s="36">
        <v>278195</v>
      </c>
      <c r="DY11" s="36">
        <v>224665</v>
      </c>
      <c r="DZ11" s="108">
        <v>52630</v>
      </c>
      <c r="EA11" s="108">
        <v>66229</v>
      </c>
      <c r="EB11" s="108">
        <v>88946</v>
      </c>
      <c r="EC11" s="108">
        <v>73883</v>
      </c>
    </row>
    <row r="12" spans="1:133" x14ac:dyDescent="0.25">
      <c r="A12" s="108" t="s">
        <v>32</v>
      </c>
      <c r="B12" s="108">
        <f>B13-B11-B10-B9-B8-B7-B6</f>
        <v>975</v>
      </c>
      <c r="C12" s="108">
        <f t="shared" ref="C12:BN12" si="0">C13-C11-C10-C9-C8-C7-C6</f>
        <v>132</v>
      </c>
      <c r="D12" s="108">
        <f t="shared" si="0"/>
        <v>1587</v>
      </c>
      <c r="E12" s="108">
        <f t="shared" si="0"/>
        <v>193</v>
      </c>
      <c r="F12" s="108">
        <f t="shared" si="0"/>
        <v>0</v>
      </c>
      <c r="G12" s="108">
        <f t="shared" si="0"/>
        <v>-1</v>
      </c>
      <c r="H12" s="108">
        <f t="shared" si="0"/>
        <v>0</v>
      </c>
      <c r="I12" s="108">
        <f t="shared" si="0"/>
        <v>1</v>
      </c>
      <c r="J12" s="108">
        <f t="shared" si="0"/>
        <v>22506907</v>
      </c>
      <c r="K12" s="111">
        <f t="shared" si="0"/>
        <v>690625.93</v>
      </c>
      <c r="L12" s="108">
        <f t="shared" si="0"/>
        <v>23139014</v>
      </c>
      <c r="M12" s="111">
        <f t="shared" si="0"/>
        <v>715523.79</v>
      </c>
      <c r="N12" s="108">
        <f t="shared" si="0"/>
        <v>299180</v>
      </c>
      <c r="O12" s="108">
        <f t="shared" si="0"/>
        <v>6890</v>
      </c>
      <c r="P12" s="108">
        <f t="shared" si="0"/>
        <v>460467</v>
      </c>
      <c r="Q12" s="108">
        <f t="shared" si="0"/>
        <v>11633</v>
      </c>
      <c r="R12" s="108">
        <f t="shared" si="0"/>
        <v>0</v>
      </c>
      <c r="S12" s="108">
        <f t="shared" si="0"/>
        <v>0</v>
      </c>
      <c r="T12" s="108">
        <f>T13-T11-T10-T9-T8-T7-T6</f>
        <v>0</v>
      </c>
      <c r="U12" s="108">
        <f>U13-U11-U10-U9-U8-U7-U6</f>
        <v>0</v>
      </c>
      <c r="V12" s="108">
        <f t="shared" si="0"/>
        <v>0</v>
      </c>
      <c r="W12" s="108">
        <f t="shared" si="0"/>
        <v>2</v>
      </c>
      <c r="X12" s="108">
        <f t="shared" si="0"/>
        <v>0</v>
      </c>
      <c r="Y12" s="108">
        <f t="shared" si="0"/>
        <v>2</v>
      </c>
      <c r="Z12" s="108">
        <f t="shared" si="0"/>
        <v>0</v>
      </c>
      <c r="AA12" s="111">
        <f t="shared" si="0"/>
        <v>-1.4566126083082054E-12</v>
      </c>
      <c r="AB12" s="108">
        <f t="shared" si="0"/>
        <v>0</v>
      </c>
      <c r="AC12" s="111">
        <f t="shared" si="0"/>
        <v>2.0037305148434825E-12</v>
      </c>
      <c r="AD12" s="108">
        <f t="shared" si="0"/>
        <v>28637</v>
      </c>
      <c r="AE12" s="108">
        <f t="shared" si="0"/>
        <v>1300.0299999999997</v>
      </c>
      <c r="AF12" s="108">
        <f t="shared" si="0"/>
        <v>41927</v>
      </c>
      <c r="AG12" s="108">
        <f t="shared" si="0"/>
        <v>2231.4099999999989</v>
      </c>
      <c r="AH12" s="108">
        <f t="shared" si="0"/>
        <v>30287</v>
      </c>
      <c r="AI12" s="108">
        <f t="shared" si="0"/>
        <v>1741.1299999999974</v>
      </c>
      <c r="AJ12" s="108">
        <f t="shared" si="0"/>
        <v>45838</v>
      </c>
      <c r="AK12" s="108">
        <f t="shared" si="0"/>
        <v>3056.3900000000067</v>
      </c>
      <c r="AL12" s="108">
        <f t="shared" si="0"/>
        <v>140667</v>
      </c>
      <c r="AM12" s="108">
        <f t="shared" si="0"/>
        <v>2343</v>
      </c>
      <c r="AN12" s="108">
        <f t="shared" si="0"/>
        <v>182853</v>
      </c>
      <c r="AO12" s="108">
        <f t="shared" si="0"/>
        <v>3853</v>
      </c>
      <c r="AP12" s="108">
        <f t="shared" si="0"/>
        <v>406027</v>
      </c>
      <c r="AQ12" s="108">
        <f t="shared" si="0"/>
        <v>15386.599999999991</v>
      </c>
      <c r="AR12" s="108">
        <f t="shared" si="0"/>
        <v>661195</v>
      </c>
      <c r="AS12" s="108">
        <f t="shared" si="0"/>
        <v>25810.300000000017</v>
      </c>
      <c r="AT12" s="108">
        <f t="shared" si="0"/>
        <v>11713</v>
      </c>
      <c r="AU12" s="108">
        <f t="shared" si="0"/>
        <v>1842</v>
      </c>
      <c r="AV12" s="108">
        <f t="shared" si="0"/>
        <v>33826</v>
      </c>
      <c r="AW12" s="108">
        <f t="shared" si="0"/>
        <v>3547</v>
      </c>
      <c r="AX12" s="108">
        <f t="shared" si="0"/>
        <v>1191407</v>
      </c>
      <c r="AY12" s="108">
        <f t="shared" si="0"/>
        <v>27119</v>
      </c>
      <c r="AZ12" s="108">
        <f t="shared" si="0"/>
        <v>1958273</v>
      </c>
      <c r="BA12" s="108">
        <f t="shared" si="0"/>
        <v>44098</v>
      </c>
      <c r="BB12" s="108">
        <f t="shared" si="0"/>
        <v>-570796</v>
      </c>
      <c r="BC12" s="108">
        <f t="shared" si="0"/>
        <v>-31195.576993999999</v>
      </c>
      <c r="BD12" s="108">
        <f t="shared" si="0"/>
        <v>0</v>
      </c>
      <c r="BE12" s="108">
        <f t="shared" si="0"/>
        <v>-4.3999927584081888E-5</v>
      </c>
      <c r="BF12" s="108">
        <f t="shared" si="0"/>
        <v>59776</v>
      </c>
      <c r="BG12" s="108">
        <f t="shared" si="0"/>
        <v>1353.9599999999987</v>
      </c>
      <c r="BH12" s="108">
        <f t="shared" si="0"/>
        <v>106634</v>
      </c>
      <c r="BI12" s="108">
        <f t="shared" si="0"/>
        <v>2765.7599999999984</v>
      </c>
      <c r="BJ12" s="108">
        <f t="shared" si="0"/>
        <v>153829</v>
      </c>
      <c r="BK12" s="111">
        <f t="shared" si="0"/>
        <v>4538</v>
      </c>
      <c r="BL12" s="108">
        <f t="shared" si="0"/>
        <v>266631</v>
      </c>
      <c r="BM12" s="111">
        <f t="shared" si="0"/>
        <v>7766</v>
      </c>
      <c r="BN12" s="108">
        <f t="shared" si="0"/>
        <v>198922</v>
      </c>
      <c r="BO12" s="108">
        <f t="shared" ref="BO12:DZ12" si="1">BO13-BO11-BO10-BO9-BO8-BO7-BO6</f>
        <v>8749</v>
      </c>
      <c r="BP12" s="108">
        <f t="shared" si="1"/>
        <v>315477</v>
      </c>
      <c r="BQ12" s="108">
        <f t="shared" si="1"/>
        <v>15021</v>
      </c>
      <c r="BR12" s="108">
        <f t="shared" si="1"/>
        <v>0</v>
      </c>
      <c r="BS12" s="108">
        <f t="shared" si="1"/>
        <v>0</v>
      </c>
      <c r="BT12" s="108">
        <f t="shared" si="1"/>
        <v>0</v>
      </c>
      <c r="BU12" s="108">
        <f t="shared" si="1"/>
        <v>-1</v>
      </c>
      <c r="BV12" s="108">
        <f t="shared" si="1"/>
        <v>0</v>
      </c>
      <c r="BW12" s="108">
        <f t="shared" si="1"/>
        <v>0</v>
      </c>
      <c r="BX12" s="108">
        <f t="shared" si="1"/>
        <v>0</v>
      </c>
      <c r="BY12" s="108">
        <f t="shared" si="1"/>
        <v>0</v>
      </c>
      <c r="BZ12" s="30">
        <f t="shared" si="1"/>
        <v>0</v>
      </c>
      <c r="CA12" s="30">
        <f t="shared" si="1"/>
        <v>0.30982330002007075</v>
      </c>
      <c r="CB12" s="30">
        <f t="shared" si="1"/>
        <v>0</v>
      </c>
      <c r="CC12" s="30">
        <f t="shared" si="1"/>
        <v>0.19936359999701381</v>
      </c>
      <c r="CD12" s="108">
        <f t="shared" si="1"/>
        <v>14451</v>
      </c>
      <c r="CE12" s="111">
        <f t="shared" si="1"/>
        <v>570</v>
      </c>
      <c r="CF12" s="108">
        <f t="shared" si="1"/>
        <v>19887</v>
      </c>
      <c r="CG12" s="111">
        <f t="shared" si="1"/>
        <v>872</v>
      </c>
      <c r="CH12" s="108">
        <f t="shared" si="1"/>
        <v>0</v>
      </c>
      <c r="CI12" s="108">
        <f t="shared" si="1"/>
        <v>0.14176579999968908</v>
      </c>
      <c r="CJ12" s="108">
        <f t="shared" si="1"/>
        <v>0</v>
      </c>
      <c r="CK12" s="108">
        <f t="shared" si="1"/>
        <v>-0.14346999999997934</v>
      </c>
      <c r="CL12" s="108">
        <f t="shared" si="1"/>
        <v>230551</v>
      </c>
      <c r="CM12" s="108">
        <f t="shared" si="1"/>
        <v>13244</v>
      </c>
      <c r="CN12" s="108">
        <f t="shared" si="1"/>
        <v>405219</v>
      </c>
      <c r="CO12" s="108">
        <f t="shared" si="1"/>
        <v>22474</v>
      </c>
      <c r="CP12" s="108">
        <f t="shared" si="1"/>
        <v>0</v>
      </c>
      <c r="CQ12" s="108">
        <f t="shared" si="1"/>
        <v>0</v>
      </c>
      <c r="CR12" s="108">
        <f t="shared" si="1"/>
        <v>0</v>
      </c>
      <c r="CS12" s="108">
        <f t="shared" si="1"/>
        <v>0</v>
      </c>
      <c r="CT12" s="108">
        <f t="shared" si="1"/>
        <v>0</v>
      </c>
      <c r="CU12" s="108">
        <f t="shared" si="1"/>
        <v>0</v>
      </c>
      <c r="CV12" s="108">
        <f t="shared" si="1"/>
        <v>0</v>
      </c>
      <c r="CW12" s="108">
        <f t="shared" si="1"/>
        <v>-1</v>
      </c>
      <c r="CX12" s="108">
        <f t="shared" si="1"/>
        <v>0</v>
      </c>
      <c r="CY12" s="108">
        <f t="shared" si="1"/>
        <v>0.60000000000582077</v>
      </c>
      <c r="CZ12" s="108">
        <f t="shared" si="1"/>
        <v>0</v>
      </c>
      <c r="DA12" s="108">
        <f t="shared" si="1"/>
        <v>0</v>
      </c>
      <c r="DB12" s="108">
        <f t="shared" si="1"/>
        <v>12928</v>
      </c>
      <c r="DC12" s="108">
        <f t="shared" si="1"/>
        <v>159.34670000000551</v>
      </c>
      <c r="DD12" s="108">
        <f t="shared" si="1"/>
        <v>13715</v>
      </c>
      <c r="DE12" s="108">
        <f t="shared" si="1"/>
        <v>178.27939999999944</v>
      </c>
      <c r="DF12" s="108">
        <f t="shared" si="1"/>
        <v>35363</v>
      </c>
      <c r="DG12" s="108">
        <f t="shared" si="1"/>
        <v>4841</v>
      </c>
      <c r="DH12" s="108">
        <f t="shared" si="1"/>
        <v>57932</v>
      </c>
      <c r="DI12" s="108">
        <f t="shared" si="1"/>
        <v>8372</v>
      </c>
      <c r="DJ12" s="108">
        <f t="shared" si="1"/>
        <v>222623</v>
      </c>
      <c r="DK12" s="108">
        <f t="shared" si="1"/>
        <v>17136</v>
      </c>
      <c r="DL12" s="108">
        <f t="shared" si="1"/>
        <v>333331</v>
      </c>
      <c r="DM12" s="108">
        <f t="shared" si="1"/>
        <v>26712</v>
      </c>
      <c r="DN12" s="108">
        <f t="shared" si="1"/>
        <v>0</v>
      </c>
      <c r="DO12" s="108">
        <f t="shared" si="1"/>
        <v>0</v>
      </c>
      <c r="DP12" s="108">
        <f t="shared" si="1"/>
        <v>0</v>
      </c>
      <c r="DQ12" s="108">
        <f t="shared" si="1"/>
        <v>1</v>
      </c>
      <c r="DR12" s="108">
        <f t="shared" si="1"/>
        <v>191458</v>
      </c>
      <c r="DS12" s="108">
        <f t="shared" si="1"/>
        <v>7583.9799999999959</v>
      </c>
      <c r="DT12" s="108">
        <f t="shared" si="1"/>
        <v>343045</v>
      </c>
      <c r="DU12" s="108">
        <f t="shared" si="1"/>
        <v>12282.110000000015</v>
      </c>
      <c r="DV12" s="108">
        <f t="shared" si="1"/>
        <v>0</v>
      </c>
      <c r="DW12" s="108">
        <f t="shared" si="1"/>
        <v>-1</v>
      </c>
      <c r="DX12" s="108">
        <f t="shared" si="1"/>
        <v>0</v>
      </c>
      <c r="DY12" s="108">
        <f t="shared" si="1"/>
        <v>-1</v>
      </c>
      <c r="DZ12" s="108">
        <f t="shared" si="1"/>
        <v>0</v>
      </c>
      <c r="EA12" s="108">
        <f t="shared" ref="EA12:EC12" si="2">EA13-EA11-EA10-EA9-EA8-EA7-EA6</f>
        <v>0</v>
      </c>
      <c r="EB12" s="108">
        <f t="shared" si="2"/>
        <v>0</v>
      </c>
      <c r="EC12" s="108">
        <f t="shared" si="2"/>
        <v>0</v>
      </c>
    </row>
    <row r="13" spans="1:133" s="8" customFormat="1" x14ac:dyDescent="0.25">
      <c r="A13" s="11" t="s">
        <v>121</v>
      </c>
      <c r="B13" s="11">
        <v>249945</v>
      </c>
      <c r="C13" s="11">
        <v>9338</v>
      </c>
      <c r="D13" s="11">
        <v>396769</v>
      </c>
      <c r="E13" s="11">
        <v>14959</v>
      </c>
      <c r="F13" s="11">
        <v>165701</v>
      </c>
      <c r="G13" s="11">
        <v>30442</v>
      </c>
      <c r="H13" s="11">
        <v>317749</v>
      </c>
      <c r="I13" s="11">
        <v>55002</v>
      </c>
      <c r="J13" s="11">
        <v>22429643</v>
      </c>
      <c r="K13" s="41">
        <v>688992.81</v>
      </c>
      <c r="L13" s="11">
        <v>23741424</v>
      </c>
      <c r="M13" s="41">
        <v>721954.4</v>
      </c>
      <c r="N13" s="11">
        <v>6581184</v>
      </c>
      <c r="O13" s="11">
        <v>414242</v>
      </c>
      <c r="P13" s="11">
        <v>10243504</v>
      </c>
      <c r="Q13" s="11">
        <v>640894</v>
      </c>
      <c r="R13" s="11">
        <v>1375449</v>
      </c>
      <c r="S13" s="11">
        <v>104704</v>
      </c>
      <c r="T13" s="11">
        <v>2485699</v>
      </c>
      <c r="U13" s="11">
        <v>155596</v>
      </c>
      <c r="V13" s="11">
        <v>1607327</v>
      </c>
      <c r="W13" s="11">
        <v>109119</v>
      </c>
      <c r="X13" s="11">
        <v>2606410</v>
      </c>
      <c r="Y13" s="11">
        <v>195096</v>
      </c>
      <c r="Z13" s="11">
        <v>1578</v>
      </c>
      <c r="AA13" s="41">
        <v>10851.05</v>
      </c>
      <c r="AB13" s="11">
        <v>2277</v>
      </c>
      <c r="AC13" s="41">
        <v>17108.13</v>
      </c>
      <c r="AD13" s="11">
        <v>54494</v>
      </c>
      <c r="AE13" s="11">
        <v>5751.98</v>
      </c>
      <c r="AF13" s="11">
        <v>80891</v>
      </c>
      <c r="AG13" s="11">
        <v>9401.8799999999992</v>
      </c>
      <c r="AH13" s="11">
        <v>875571</v>
      </c>
      <c r="AI13" s="11">
        <v>92491.39</v>
      </c>
      <c r="AJ13" s="11">
        <v>1427744</v>
      </c>
      <c r="AK13" s="11">
        <v>159738.92000000001</v>
      </c>
      <c r="AL13" s="11">
        <v>1450546</v>
      </c>
      <c r="AM13" s="11">
        <v>56666</v>
      </c>
      <c r="AN13" s="11">
        <v>1962982</v>
      </c>
      <c r="AO13" s="11">
        <v>97304</v>
      </c>
      <c r="AP13" s="11">
        <v>2194349</v>
      </c>
      <c r="AQ13" s="11">
        <v>334607.5</v>
      </c>
      <c r="AR13" s="11">
        <v>3576484</v>
      </c>
      <c r="AS13" s="11">
        <v>488465.4</v>
      </c>
      <c r="AT13" s="11">
        <v>350938</v>
      </c>
      <c r="AU13" s="11">
        <v>58623</v>
      </c>
      <c r="AV13" s="11">
        <v>746471</v>
      </c>
      <c r="AW13" s="11">
        <v>103205</v>
      </c>
      <c r="AX13" s="11">
        <v>4552526</v>
      </c>
      <c r="AY13" s="11">
        <v>318925</v>
      </c>
      <c r="AZ13" s="11">
        <v>8165834</v>
      </c>
      <c r="BA13" s="11">
        <v>649147</v>
      </c>
      <c r="BB13" s="11">
        <v>2185158</v>
      </c>
      <c r="BC13" s="11">
        <v>249347.2954</v>
      </c>
      <c r="BD13" s="11">
        <v>3708551</v>
      </c>
      <c r="BE13" s="11">
        <v>422795.02020000003</v>
      </c>
      <c r="BF13" s="11">
        <v>594233</v>
      </c>
      <c r="BG13" s="11">
        <v>13615.64</v>
      </c>
      <c r="BH13" s="11">
        <v>933868</v>
      </c>
      <c r="BI13" s="11">
        <v>23358</v>
      </c>
      <c r="BJ13" s="11">
        <v>586738</v>
      </c>
      <c r="BK13" s="41">
        <v>33118</v>
      </c>
      <c r="BL13" s="11">
        <v>993282</v>
      </c>
      <c r="BM13" s="41">
        <v>65072</v>
      </c>
      <c r="BN13" s="11">
        <v>418360</v>
      </c>
      <c r="BO13" s="11">
        <v>29979</v>
      </c>
      <c r="BP13" s="11">
        <v>669820</v>
      </c>
      <c r="BQ13" s="11">
        <v>51357</v>
      </c>
      <c r="BR13" s="11">
        <v>87817</v>
      </c>
      <c r="BS13" s="11">
        <v>18610</v>
      </c>
      <c r="BT13" s="11">
        <v>157490</v>
      </c>
      <c r="BU13" s="11">
        <v>32917</v>
      </c>
      <c r="BV13" s="11">
        <v>239738</v>
      </c>
      <c r="BW13" s="11">
        <v>41325</v>
      </c>
      <c r="BX13" s="11">
        <v>417163</v>
      </c>
      <c r="BY13" s="11">
        <v>71927</v>
      </c>
      <c r="BZ13" s="11">
        <v>3329750</v>
      </c>
      <c r="CA13" s="11">
        <v>438136</v>
      </c>
      <c r="CB13" s="11">
        <v>6053677</v>
      </c>
      <c r="CC13" s="11">
        <v>694471</v>
      </c>
      <c r="CD13" s="11">
        <v>80990</v>
      </c>
      <c r="CE13" s="41">
        <v>2816</v>
      </c>
      <c r="CF13" s="11">
        <v>111105</v>
      </c>
      <c r="CG13" s="41">
        <v>3873</v>
      </c>
      <c r="CH13" s="11">
        <v>27408</v>
      </c>
      <c r="CI13" s="11">
        <v>5351</v>
      </c>
      <c r="CJ13" s="11">
        <v>44380</v>
      </c>
      <c r="CK13" s="11">
        <v>9038</v>
      </c>
      <c r="CL13" s="11">
        <v>1379398</v>
      </c>
      <c r="CM13" s="11">
        <v>264865</v>
      </c>
      <c r="CN13" s="11">
        <v>2479242</v>
      </c>
      <c r="CO13" s="11">
        <v>450055</v>
      </c>
      <c r="CP13" s="11">
        <v>303098</v>
      </c>
      <c r="CQ13" s="11">
        <v>65855</v>
      </c>
      <c r="CR13" s="11">
        <v>535071</v>
      </c>
      <c r="CS13" s="11">
        <v>114018</v>
      </c>
      <c r="CT13" s="11">
        <v>457061</v>
      </c>
      <c r="CU13" s="11">
        <v>63543</v>
      </c>
      <c r="CV13" s="11">
        <v>820525</v>
      </c>
      <c r="CW13" s="11">
        <v>121987</v>
      </c>
      <c r="CX13" s="11">
        <v>859968</v>
      </c>
      <c r="CY13" s="11">
        <v>241396.6</v>
      </c>
      <c r="CZ13" s="11">
        <v>1531621</v>
      </c>
      <c r="DA13" s="11">
        <v>361862</v>
      </c>
      <c r="DB13" s="11">
        <v>1004777</v>
      </c>
      <c r="DC13" s="11">
        <v>55169.236700000001</v>
      </c>
      <c r="DD13" s="11">
        <v>1701570</v>
      </c>
      <c r="DE13" s="11">
        <v>100893.4494</v>
      </c>
      <c r="DF13" s="11">
        <v>2073399</v>
      </c>
      <c r="DG13" s="11">
        <v>241728</v>
      </c>
      <c r="DH13" s="11">
        <v>3212562</v>
      </c>
      <c r="DI13" s="11">
        <v>395594</v>
      </c>
      <c r="DJ13" s="11">
        <v>2349873</v>
      </c>
      <c r="DK13" s="11">
        <v>198202</v>
      </c>
      <c r="DL13" s="11">
        <v>3978590</v>
      </c>
      <c r="DM13" s="11">
        <v>378098</v>
      </c>
      <c r="DN13" s="11"/>
      <c r="DO13" s="11"/>
      <c r="DP13" s="11">
        <v>8300615</v>
      </c>
      <c r="DQ13" s="11">
        <v>670805</v>
      </c>
      <c r="DR13" s="11">
        <v>3101459</v>
      </c>
      <c r="DS13" s="11">
        <v>343897</v>
      </c>
      <c r="DT13" s="11">
        <v>4803033</v>
      </c>
      <c r="DU13" s="11">
        <v>626135</v>
      </c>
      <c r="DV13" s="36">
        <v>3872443</v>
      </c>
      <c r="DW13" s="36">
        <v>370509</v>
      </c>
      <c r="DX13" s="36">
        <v>6873998</v>
      </c>
      <c r="DY13" s="36">
        <v>755040</v>
      </c>
      <c r="DZ13" s="11">
        <v>413300</v>
      </c>
      <c r="EA13" s="11">
        <v>93506</v>
      </c>
      <c r="EB13" s="11">
        <v>718446</v>
      </c>
      <c r="EC13" s="11">
        <v>135368</v>
      </c>
    </row>
    <row r="14" spans="1:133" x14ac:dyDescent="0.25">
      <c r="A14" s="108" t="s">
        <v>122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11"/>
      <c r="L14" s="108"/>
      <c r="M14" s="111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11"/>
      <c r="AB14" s="108"/>
      <c r="AC14" s="111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11"/>
      <c r="BL14" s="108"/>
      <c r="BM14" s="111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32">
        <v>219470</v>
      </c>
      <c r="CA14" s="131">
        <v>4545.2481493999994</v>
      </c>
      <c r="CB14" s="30">
        <v>344707</v>
      </c>
      <c r="CC14" s="30">
        <v>7610</v>
      </c>
      <c r="CD14" s="108"/>
      <c r="CE14" s="111"/>
      <c r="CF14" s="108"/>
      <c r="CG14" s="111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>
        <v>66</v>
      </c>
      <c r="CY14" s="108">
        <v>54</v>
      </c>
      <c r="CZ14" s="108">
        <v>340</v>
      </c>
      <c r="DA14" s="108">
        <v>105</v>
      </c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>
        <v>682</v>
      </c>
      <c r="DQ14" s="108">
        <v>8</v>
      </c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</row>
    <row r="15" spans="1:133" s="8" customFormat="1" x14ac:dyDescent="0.25">
      <c r="A15" s="11" t="s">
        <v>123</v>
      </c>
      <c r="B15" s="11">
        <f>B13+B14</f>
        <v>249945</v>
      </c>
      <c r="C15" s="11">
        <f t="shared" ref="C15:BN15" si="3">C13+C14</f>
        <v>9338</v>
      </c>
      <c r="D15" s="11">
        <f t="shared" si="3"/>
        <v>396769</v>
      </c>
      <c r="E15" s="11">
        <f t="shared" si="3"/>
        <v>14959</v>
      </c>
      <c r="F15" s="11">
        <f t="shared" si="3"/>
        <v>165701</v>
      </c>
      <c r="G15" s="11">
        <f t="shared" si="3"/>
        <v>30442</v>
      </c>
      <c r="H15" s="11">
        <f t="shared" si="3"/>
        <v>317749</v>
      </c>
      <c r="I15" s="11">
        <f t="shared" si="3"/>
        <v>55002</v>
      </c>
      <c r="J15" s="11">
        <f t="shared" si="3"/>
        <v>22429643</v>
      </c>
      <c r="K15" s="41">
        <f t="shared" si="3"/>
        <v>688992.81</v>
      </c>
      <c r="L15" s="11">
        <f t="shared" si="3"/>
        <v>23741424</v>
      </c>
      <c r="M15" s="41">
        <f t="shared" si="3"/>
        <v>721954.4</v>
      </c>
      <c r="N15" s="11">
        <f t="shared" si="3"/>
        <v>6581184</v>
      </c>
      <c r="O15" s="11">
        <f t="shared" si="3"/>
        <v>414242</v>
      </c>
      <c r="P15" s="11">
        <f t="shared" si="3"/>
        <v>10243504</v>
      </c>
      <c r="Q15" s="11">
        <v>640894</v>
      </c>
      <c r="R15" s="11">
        <f t="shared" si="3"/>
        <v>1375449</v>
      </c>
      <c r="S15" s="11">
        <f t="shared" si="3"/>
        <v>104704</v>
      </c>
      <c r="T15" s="11">
        <f t="shared" si="3"/>
        <v>2485699</v>
      </c>
      <c r="U15" s="11">
        <f t="shared" si="3"/>
        <v>155596</v>
      </c>
      <c r="V15" s="11">
        <f t="shared" si="3"/>
        <v>1607327</v>
      </c>
      <c r="W15" s="11">
        <f t="shared" si="3"/>
        <v>109119</v>
      </c>
      <c r="X15" s="11">
        <f t="shared" si="3"/>
        <v>2606410</v>
      </c>
      <c r="Y15" s="11">
        <f t="shared" si="3"/>
        <v>195096</v>
      </c>
      <c r="Z15" s="11">
        <f t="shared" si="3"/>
        <v>1578</v>
      </c>
      <c r="AA15" s="41">
        <f t="shared" si="3"/>
        <v>10851.05</v>
      </c>
      <c r="AB15" s="11">
        <f t="shared" si="3"/>
        <v>2277</v>
      </c>
      <c r="AC15" s="41">
        <f t="shared" si="3"/>
        <v>17108.13</v>
      </c>
      <c r="AD15" s="11">
        <f t="shared" si="3"/>
        <v>54494</v>
      </c>
      <c r="AE15" s="11">
        <f t="shared" si="3"/>
        <v>5751.98</v>
      </c>
      <c r="AF15" s="11">
        <f t="shared" si="3"/>
        <v>80891</v>
      </c>
      <c r="AG15" s="11">
        <f t="shared" si="3"/>
        <v>9401.8799999999992</v>
      </c>
      <c r="AH15" s="11">
        <f t="shared" si="3"/>
        <v>875571</v>
      </c>
      <c r="AI15" s="11">
        <f t="shared" si="3"/>
        <v>92491.39</v>
      </c>
      <c r="AJ15" s="11">
        <f t="shared" si="3"/>
        <v>1427744</v>
      </c>
      <c r="AK15" s="11">
        <f t="shared" si="3"/>
        <v>159738.92000000001</v>
      </c>
      <c r="AL15" s="11">
        <f t="shared" si="3"/>
        <v>1450546</v>
      </c>
      <c r="AM15" s="11">
        <f t="shared" si="3"/>
        <v>56666</v>
      </c>
      <c r="AN15" s="11">
        <f t="shared" si="3"/>
        <v>1962982</v>
      </c>
      <c r="AO15" s="11">
        <f t="shared" si="3"/>
        <v>97304</v>
      </c>
      <c r="AP15" s="11">
        <f t="shared" si="3"/>
        <v>2194349</v>
      </c>
      <c r="AQ15" s="11">
        <f t="shared" si="3"/>
        <v>334607.5</v>
      </c>
      <c r="AR15" s="11">
        <f t="shared" si="3"/>
        <v>3576484</v>
      </c>
      <c r="AS15" s="11">
        <f t="shared" si="3"/>
        <v>488465.4</v>
      </c>
      <c r="AT15" s="11">
        <f t="shared" si="3"/>
        <v>350938</v>
      </c>
      <c r="AU15" s="11">
        <f t="shared" si="3"/>
        <v>58623</v>
      </c>
      <c r="AV15" s="11">
        <f t="shared" si="3"/>
        <v>746471</v>
      </c>
      <c r="AW15" s="11">
        <f t="shared" si="3"/>
        <v>103205</v>
      </c>
      <c r="AX15" s="11">
        <f t="shared" si="3"/>
        <v>4552526</v>
      </c>
      <c r="AY15" s="11">
        <f t="shared" si="3"/>
        <v>318925</v>
      </c>
      <c r="AZ15" s="11">
        <f t="shared" si="3"/>
        <v>8165834</v>
      </c>
      <c r="BA15" s="11">
        <f t="shared" si="3"/>
        <v>649147</v>
      </c>
      <c r="BB15" s="11">
        <f t="shared" si="3"/>
        <v>2185158</v>
      </c>
      <c r="BC15" s="11">
        <f t="shared" si="3"/>
        <v>249347.2954</v>
      </c>
      <c r="BD15" s="11">
        <f t="shared" si="3"/>
        <v>3708551</v>
      </c>
      <c r="BE15" s="11">
        <f t="shared" si="3"/>
        <v>422795.02020000003</v>
      </c>
      <c r="BF15" s="11">
        <f t="shared" si="3"/>
        <v>594233</v>
      </c>
      <c r="BG15" s="11">
        <f t="shared" si="3"/>
        <v>13615.64</v>
      </c>
      <c r="BH15" s="11">
        <f t="shared" si="3"/>
        <v>933868</v>
      </c>
      <c r="BI15" s="11">
        <f t="shared" si="3"/>
        <v>23358</v>
      </c>
      <c r="BJ15" s="11">
        <f t="shared" si="3"/>
        <v>586738</v>
      </c>
      <c r="BK15" s="41">
        <f t="shared" si="3"/>
        <v>33118</v>
      </c>
      <c r="BL15" s="11">
        <f t="shared" si="3"/>
        <v>993282</v>
      </c>
      <c r="BM15" s="41">
        <f t="shared" si="3"/>
        <v>65072</v>
      </c>
      <c r="BN15" s="11">
        <f t="shared" si="3"/>
        <v>418360</v>
      </c>
      <c r="BO15" s="11">
        <f t="shared" ref="BO15:DZ15" si="4">BO13+BO14</f>
        <v>29979</v>
      </c>
      <c r="BP15" s="11">
        <f t="shared" si="4"/>
        <v>669820</v>
      </c>
      <c r="BQ15" s="11">
        <f t="shared" si="4"/>
        <v>51357</v>
      </c>
      <c r="BR15" s="11">
        <f t="shared" si="4"/>
        <v>87817</v>
      </c>
      <c r="BS15" s="11">
        <f t="shared" si="4"/>
        <v>18610</v>
      </c>
      <c r="BT15" s="11">
        <f t="shared" si="4"/>
        <v>157490</v>
      </c>
      <c r="BU15" s="11">
        <f t="shared" si="4"/>
        <v>32917</v>
      </c>
      <c r="BV15" s="11">
        <f t="shared" si="4"/>
        <v>239738</v>
      </c>
      <c r="BW15" s="11">
        <f t="shared" si="4"/>
        <v>41325</v>
      </c>
      <c r="BX15" s="11">
        <f t="shared" si="4"/>
        <v>417163</v>
      </c>
      <c r="BY15" s="11">
        <f t="shared" si="4"/>
        <v>71927</v>
      </c>
      <c r="BZ15" s="11">
        <f t="shared" si="4"/>
        <v>3549220</v>
      </c>
      <c r="CA15" s="11">
        <f t="shared" si="4"/>
        <v>442681.24814939999</v>
      </c>
      <c r="CB15" s="11">
        <f t="shared" si="4"/>
        <v>6398384</v>
      </c>
      <c r="CC15" s="11">
        <f t="shared" si="4"/>
        <v>702081</v>
      </c>
      <c r="CD15" s="11">
        <f t="shared" si="4"/>
        <v>80990</v>
      </c>
      <c r="CE15" s="41">
        <f t="shared" si="4"/>
        <v>2816</v>
      </c>
      <c r="CF15" s="11">
        <f t="shared" si="4"/>
        <v>111105</v>
      </c>
      <c r="CG15" s="41">
        <f t="shared" si="4"/>
        <v>3873</v>
      </c>
      <c r="CH15" s="11">
        <f t="shared" si="4"/>
        <v>27408</v>
      </c>
      <c r="CI15" s="11">
        <f t="shared" si="4"/>
        <v>5351</v>
      </c>
      <c r="CJ15" s="11">
        <f t="shared" si="4"/>
        <v>44380</v>
      </c>
      <c r="CK15" s="11">
        <f t="shared" si="4"/>
        <v>9038</v>
      </c>
      <c r="CL15" s="11">
        <f t="shared" si="4"/>
        <v>1379398</v>
      </c>
      <c r="CM15" s="11">
        <f t="shared" si="4"/>
        <v>264865</v>
      </c>
      <c r="CN15" s="11">
        <f t="shared" si="4"/>
        <v>2479242</v>
      </c>
      <c r="CO15" s="11">
        <f t="shared" si="4"/>
        <v>450055</v>
      </c>
      <c r="CP15" s="11">
        <f t="shared" si="4"/>
        <v>303098</v>
      </c>
      <c r="CQ15" s="11">
        <f t="shared" si="4"/>
        <v>65855</v>
      </c>
      <c r="CR15" s="11">
        <f t="shared" si="4"/>
        <v>535071</v>
      </c>
      <c r="CS15" s="11">
        <f t="shared" si="4"/>
        <v>114018</v>
      </c>
      <c r="CT15" s="11">
        <f t="shared" si="4"/>
        <v>457061</v>
      </c>
      <c r="CU15" s="11">
        <f t="shared" si="4"/>
        <v>63543</v>
      </c>
      <c r="CV15" s="11">
        <f t="shared" si="4"/>
        <v>820525</v>
      </c>
      <c r="CW15" s="11">
        <f t="shared" si="4"/>
        <v>121987</v>
      </c>
      <c r="CX15" s="11">
        <f t="shared" si="4"/>
        <v>860034</v>
      </c>
      <c r="CY15" s="11">
        <f t="shared" si="4"/>
        <v>241450.6</v>
      </c>
      <c r="CZ15" s="11">
        <f t="shared" si="4"/>
        <v>1531961</v>
      </c>
      <c r="DA15" s="11">
        <f t="shared" si="4"/>
        <v>361967</v>
      </c>
      <c r="DB15" s="11">
        <f t="shared" si="4"/>
        <v>1004777</v>
      </c>
      <c r="DC15" s="11">
        <f t="shared" si="4"/>
        <v>55169.236700000001</v>
      </c>
      <c r="DD15" s="11">
        <f t="shared" si="4"/>
        <v>1701570</v>
      </c>
      <c r="DE15" s="11">
        <f t="shared" si="4"/>
        <v>100893.4494</v>
      </c>
      <c r="DF15" s="11">
        <f t="shared" si="4"/>
        <v>2073399</v>
      </c>
      <c r="DG15" s="11">
        <f t="shared" si="4"/>
        <v>241728</v>
      </c>
      <c r="DH15" s="11">
        <f t="shared" si="4"/>
        <v>3212562</v>
      </c>
      <c r="DI15" s="11">
        <f t="shared" si="4"/>
        <v>395594</v>
      </c>
      <c r="DJ15" s="11">
        <f t="shared" si="4"/>
        <v>2349873</v>
      </c>
      <c r="DK15" s="11">
        <f t="shared" si="4"/>
        <v>198202</v>
      </c>
      <c r="DL15" s="11">
        <f t="shared" si="4"/>
        <v>3978590</v>
      </c>
      <c r="DM15" s="11">
        <f t="shared" si="4"/>
        <v>378098</v>
      </c>
      <c r="DN15" s="11">
        <f t="shared" si="4"/>
        <v>0</v>
      </c>
      <c r="DO15" s="11">
        <f t="shared" si="4"/>
        <v>0</v>
      </c>
      <c r="DP15" s="11">
        <f t="shared" si="4"/>
        <v>8301297</v>
      </c>
      <c r="DQ15" s="11">
        <f t="shared" si="4"/>
        <v>670813</v>
      </c>
      <c r="DR15" s="11">
        <f t="shared" si="4"/>
        <v>3101459</v>
      </c>
      <c r="DS15" s="11">
        <f t="shared" si="4"/>
        <v>343897</v>
      </c>
      <c r="DT15" s="11">
        <f t="shared" si="4"/>
        <v>4803033</v>
      </c>
      <c r="DU15" s="11">
        <f t="shared" si="4"/>
        <v>626135</v>
      </c>
      <c r="DV15" s="11">
        <f t="shared" si="4"/>
        <v>3872443</v>
      </c>
      <c r="DW15" s="11">
        <f t="shared" si="4"/>
        <v>370509</v>
      </c>
      <c r="DX15" s="11">
        <f t="shared" si="4"/>
        <v>6873998</v>
      </c>
      <c r="DY15" s="11">
        <f t="shared" si="4"/>
        <v>755040</v>
      </c>
      <c r="DZ15" s="11">
        <f t="shared" si="4"/>
        <v>413300</v>
      </c>
      <c r="EA15" s="11">
        <f t="shared" ref="EA15:EC15" si="5">EA13+EA14</f>
        <v>93506</v>
      </c>
      <c r="EB15" s="11">
        <f t="shared" si="5"/>
        <v>718446</v>
      </c>
      <c r="EC15" s="11">
        <f t="shared" si="5"/>
        <v>135368</v>
      </c>
    </row>
    <row r="18" spans="12:59" x14ac:dyDescent="0.25">
      <c r="L18" s="95"/>
    </row>
    <row r="19" spans="12:59" x14ac:dyDescent="0.25">
      <c r="L19" s="95"/>
      <c r="AV19" s="95"/>
      <c r="BG19" s="95"/>
    </row>
    <row r="20" spans="12:59" x14ac:dyDescent="0.25">
      <c r="AV20" s="95"/>
    </row>
  </sheetData>
  <mergeCells count="99">
    <mergeCell ref="CH4:CI4"/>
    <mergeCell ref="CJ4:CK4"/>
    <mergeCell ref="CL4:CM4"/>
    <mergeCell ref="CN4:CO4"/>
    <mergeCell ref="CP4:CQ4"/>
    <mergeCell ref="CR4:CS4"/>
    <mergeCell ref="CX4:CY4"/>
    <mergeCell ref="CZ4:DA4"/>
    <mergeCell ref="DB4:DC4"/>
    <mergeCell ref="DD4:DE4"/>
    <mergeCell ref="BN4:BO4"/>
    <mergeCell ref="BP4:BQ4"/>
    <mergeCell ref="BR4:BS4"/>
    <mergeCell ref="BT4:BU4"/>
    <mergeCell ref="BV4:BW4"/>
    <mergeCell ref="BX4:BY4"/>
    <mergeCell ref="BZ4:CA4"/>
    <mergeCell ref="CB4:CC4"/>
    <mergeCell ref="CD4:CE4"/>
    <mergeCell ref="CF4:CG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DR3:DU3"/>
    <mergeCell ref="DV3:DY3"/>
    <mergeCell ref="DZ3:EC3"/>
    <mergeCell ref="EB4:EC4"/>
    <mergeCell ref="DZ4:EA4"/>
    <mergeCell ref="DT4:DU4"/>
    <mergeCell ref="DV4:DW4"/>
    <mergeCell ref="DX4:DY4"/>
    <mergeCell ref="DR4:DS4"/>
    <mergeCell ref="DN4:DO4"/>
    <mergeCell ref="DP4:DQ4"/>
    <mergeCell ref="CT3:CW3"/>
    <mergeCell ref="CT4:CU4"/>
    <mergeCell ref="CV4:CW4"/>
    <mergeCell ref="CX3:DA3"/>
    <mergeCell ref="DB3:DE3"/>
    <mergeCell ref="DF3:DI3"/>
    <mergeCell ref="DJ3:DM3"/>
    <mergeCell ref="DF4:DG4"/>
    <mergeCell ref="DH4:DI4"/>
    <mergeCell ref="DJ4:DK4"/>
    <mergeCell ref="DL4:DM4"/>
    <mergeCell ref="B3:E3"/>
    <mergeCell ref="F3:I3"/>
    <mergeCell ref="J3:M3"/>
    <mergeCell ref="N3:Q3"/>
    <mergeCell ref="R3:U3"/>
    <mergeCell ref="V4:W4"/>
    <mergeCell ref="V3:Y3"/>
    <mergeCell ref="X4:Y4"/>
    <mergeCell ref="AP3:AS3"/>
    <mergeCell ref="AT3:AW3"/>
    <mergeCell ref="AJ4:AK4"/>
    <mergeCell ref="AL4:AM4"/>
    <mergeCell ref="AN4:AO4"/>
    <mergeCell ref="AP4:AQ4"/>
    <mergeCell ref="AR4:AS4"/>
    <mergeCell ref="Z4:AA4"/>
    <mergeCell ref="AB4:AC4"/>
    <mergeCell ref="AD4:AE4"/>
    <mergeCell ref="Z3:AC3"/>
    <mergeCell ref="AF4:AG4"/>
    <mergeCell ref="AH4:AI4"/>
    <mergeCell ref="AD3:AG3"/>
    <mergeCell ref="AH3:AK3"/>
    <mergeCell ref="AL3:AO3"/>
    <mergeCell ref="DN3:DQ3"/>
    <mergeCell ref="CD3:CG3"/>
    <mergeCell ref="CH3:CK3"/>
    <mergeCell ref="CL3:CO3"/>
    <mergeCell ref="CP3:CS3"/>
    <mergeCell ref="AX3:BA3"/>
    <mergeCell ref="BB3:BE3"/>
    <mergeCell ref="BF3:BI3"/>
    <mergeCell ref="BJ3:BM3"/>
    <mergeCell ref="BN3:BQ3"/>
    <mergeCell ref="BR3:BU3"/>
    <mergeCell ref="BV3:BY3"/>
    <mergeCell ref="BZ3:C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7" customWidth="1"/>
    <col min="2" max="67" width="16" style="7" customWidth="1"/>
    <col min="68" max="69" width="16" style="44" customWidth="1"/>
    <col min="70" max="16384" width="9.140625" style="7"/>
  </cols>
  <sheetData>
    <row r="1" spans="1:69" ht="18.75" x14ac:dyDescent="0.3">
      <c r="A1" s="17" t="s">
        <v>282</v>
      </c>
    </row>
    <row r="2" spans="1:69" x14ac:dyDescent="0.25">
      <c r="A2" s="6" t="s">
        <v>34</v>
      </c>
    </row>
    <row r="3" spans="1:69" x14ac:dyDescent="0.25">
      <c r="A3" s="3" t="s">
        <v>0</v>
      </c>
      <c r="B3" s="116" t="s">
        <v>1</v>
      </c>
      <c r="C3" s="117"/>
      <c r="D3" s="116" t="s">
        <v>285</v>
      </c>
      <c r="E3" s="117"/>
      <c r="F3" s="116" t="s">
        <v>2</v>
      </c>
      <c r="G3" s="117"/>
      <c r="H3" s="116" t="s">
        <v>3</v>
      </c>
      <c r="I3" s="117"/>
      <c r="J3" s="116" t="s">
        <v>4</v>
      </c>
      <c r="K3" s="117"/>
      <c r="L3" s="116" t="s">
        <v>286</v>
      </c>
      <c r="M3" s="117"/>
      <c r="N3" s="116" t="s">
        <v>6</v>
      </c>
      <c r="O3" s="117"/>
      <c r="P3" s="116" t="s">
        <v>5</v>
      </c>
      <c r="Q3" s="117"/>
      <c r="R3" s="116" t="s">
        <v>7</v>
      </c>
      <c r="S3" s="117"/>
      <c r="T3" s="116" t="s">
        <v>287</v>
      </c>
      <c r="U3" s="117"/>
      <c r="V3" s="116" t="s">
        <v>8</v>
      </c>
      <c r="W3" s="117"/>
      <c r="X3" s="116" t="s">
        <v>288</v>
      </c>
      <c r="Y3" s="117"/>
      <c r="Z3" s="116" t="s">
        <v>9</v>
      </c>
      <c r="AA3" s="117"/>
      <c r="AB3" s="116" t="s">
        <v>10</v>
      </c>
      <c r="AC3" s="117"/>
      <c r="AD3" s="116" t="s">
        <v>289</v>
      </c>
      <c r="AE3" s="117"/>
      <c r="AF3" s="116" t="s">
        <v>11</v>
      </c>
      <c r="AG3" s="117"/>
      <c r="AH3" s="116" t="s">
        <v>12</v>
      </c>
      <c r="AI3" s="117"/>
      <c r="AJ3" s="116" t="s">
        <v>290</v>
      </c>
      <c r="AK3" s="117"/>
      <c r="AL3" s="116" t="s">
        <v>299</v>
      </c>
      <c r="AM3" s="117"/>
      <c r="AN3" s="116" t="s">
        <v>13</v>
      </c>
      <c r="AO3" s="117"/>
      <c r="AP3" s="116" t="s">
        <v>291</v>
      </c>
      <c r="AQ3" s="117"/>
      <c r="AR3" s="116" t="s">
        <v>292</v>
      </c>
      <c r="AS3" s="117"/>
      <c r="AT3" s="116" t="s">
        <v>307</v>
      </c>
      <c r="AU3" s="117"/>
      <c r="AV3" s="116" t="s">
        <v>293</v>
      </c>
      <c r="AW3" s="117"/>
      <c r="AX3" s="116" t="s">
        <v>14</v>
      </c>
      <c r="AY3" s="117"/>
      <c r="AZ3" s="116" t="s">
        <v>15</v>
      </c>
      <c r="BA3" s="117"/>
      <c r="BB3" s="116" t="s">
        <v>16</v>
      </c>
      <c r="BC3" s="117"/>
      <c r="BD3" s="116" t="s">
        <v>17</v>
      </c>
      <c r="BE3" s="117"/>
      <c r="BF3" s="116" t="s">
        <v>18</v>
      </c>
      <c r="BG3" s="117"/>
      <c r="BH3" s="116" t="s">
        <v>294</v>
      </c>
      <c r="BI3" s="117"/>
      <c r="BJ3" s="116" t="s">
        <v>295</v>
      </c>
      <c r="BK3" s="117"/>
      <c r="BL3" s="116" t="s">
        <v>19</v>
      </c>
      <c r="BM3" s="117"/>
      <c r="BN3" s="116" t="s">
        <v>20</v>
      </c>
      <c r="BO3" s="117"/>
      <c r="BP3" s="118" t="s">
        <v>21</v>
      </c>
      <c r="BQ3" s="119"/>
    </row>
    <row r="4" spans="1:69" ht="30" x14ac:dyDescent="0.25">
      <c r="A4" s="3"/>
      <c r="B4" s="67" t="s">
        <v>296</v>
      </c>
      <c r="C4" s="68" t="s">
        <v>297</v>
      </c>
      <c r="D4" s="67" t="s">
        <v>296</v>
      </c>
      <c r="E4" s="68" t="s">
        <v>297</v>
      </c>
      <c r="F4" s="67" t="s">
        <v>296</v>
      </c>
      <c r="G4" s="68" t="s">
        <v>297</v>
      </c>
      <c r="H4" s="67" t="s">
        <v>296</v>
      </c>
      <c r="I4" s="68" t="s">
        <v>297</v>
      </c>
      <c r="J4" s="67" t="s">
        <v>296</v>
      </c>
      <c r="K4" s="68" t="s">
        <v>297</v>
      </c>
      <c r="L4" s="67" t="s">
        <v>296</v>
      </c>
      <c r="M4" s="68" t="s">
        <v>297</v>
      </c>
      <c r="N4" s="67" t="s">
        <v>296</v>
      </c>
      <c r="O4" s="68" t="s">
        <v>297</v>
      </c>
      <c r="P4" s="67" t="s">
        <v>296</v>
      </c>
      <c r="Q4" s="68" t="s">
        <v>297</v>
      </c>
      <c r="R4" s="67" t="s">
        <v>296</v>
      </c>
      <c r="S4" s="68" t="s">
        <v>297</v>
      </c>
      <c r="T4" s="67" t="s">
        <v>296</v>
      </c>
      <c r="U4" s="68" t="s">
        <v>297</v>
      </c>
      <c r="V4" s="67" t="s">
        <v>296</v>
      </c>
      <c r="W4" s="68" t="s">
        <v>297</v>
      </c>
      <c r="X4" s="67" t="s">
        <v>296</v>
      </c>
      <c r="Y4" s="68" t="s">
        <v>297</v>
      </c>
      <c r="Z4" s="67" t="s">
        <v>296</v>
      </c>
      <c r="AA4" s="68" t="s">
        <v>297</v>
      </c>
      <c r="AB4" s="67" t="s">
        <v>296</v>
      </c>
      <c r="AC4" s="68" t="s">
        <v>297</v>
      </c>
      <c r="AD4" s="67" t="s">
        <v>296</v>
      </c>
      <c r="AE4" s="68" t="s">
        <v>297</v>
      </c>
      <c r="AF4" s="67" t="s">
        <v>296</v>
      </c>
      <c r="AG4" s="68" t="s">
        <v>297</v>
      </c>
      <c r="AH4" s="67" t="s">
        <v>296</v>
      </c>
      <c r="AI4" s="68" t="s">
        <v>297</v>
      </c>
      <c r="AJ4" s="67" t="s">
        <v>296</v>
      </c>
      <c r="AK4" s="68" t="s">
        <v>297</v>
      </c>
      <c r="AL4" s="67" t="s">
        <v>296</v>
      </c>
      <c r="AM4" s="68" t="s">
        <v>297</v>
      </c>
      <c r="AN4" s="67" t="s">
        <v>296</v>
      </c>
      <c r="AO4" s="68" t="s">
        <v>297</v>
      </c>
      <c r="AP4" s="67" t="s">
        <v>296</v>
      </c>
      <c r="AQ4" s="68" t="s">
        <v>297</v>
      </c>
      <c r="AR4" s="67" t="s">
        <v>296</v>
      </c>
      <c r="AS4" s="68" t="s">
        <v>297</v>
      </c>
      <c r="AT4" s="67" t="s">
        <v>296</v>
      </c>
      <c r="AU4" s="68" t="s">
        <v>297</v>
      </c>
      <c r="AV4" s="67" t="s">
        <v>296</v>
      </c>
      <c r="AW4" s="68" t="s">
        <v>297</v>
      </c>
      <c r="AX4" s="67" t="s">
        <v>296</v>
      </c>
      <c r="AY4" s="68" t="s">
        <v>297</v>
      </c>
      <c r="AZ4" s="67" t="s">
        <v>296</v>
      </c>
      <c r="BA4" s="68" t="s">
        <v>297</v>
      </c>
      <c r="BB4" s="67" t="s">
        <v>296</v>
      </c>
      <c r="BC4" s="68" t="s">
        <v>297</v>
      </c>
      <c r="BD4" s="67" t="s">
        <v>296</v>
      </c>
      <c r="BE4" s="68" t="s">
        <v>297</v>
      </c>
      <c r="BF4" s="67" t="s">
        <v>296</v>
      </c>
      <c r="BG4" s="68" t="s">
        <v>297</v>
      </c>
      <c r="BH4" s="67" t="s">
        <v>296</v>
      </c>
      <c r="BI4" s="68" t="s">
        <v>297</v>
      </c>
      <c r="BJ4" s="67" t="s">
        <v>296</v>
      </c>
      <c r="BK4" s="68" t="s">
        <v>297</v>
      </c>
      <c r="BL4" s="67" t="s">
        <v>296</v>
      </c>
      <c r="BM4" s="68" t="s">
        <v>297</v>
      </c>
      <c r="BN4" s="67" t="s">
        <v>296</v>
      </c>
      <c r="BO4" s="68" t="s">
        <v>297</v>
      </c>
      <c r="BP4" s="84" t="s">
        <v>280</v>
      </c>
      <c r="BQ4" s="85" t="s">
        <v>281</v>
      </c>
    </row>
    <row r="5" spans="1:69" x14ac:dyDescent="0.25">
      <c r="A5" s="3" t="s">
        <v>253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86"/>
      <c r="BQ5" s="86"/>
    </row>
    <row r="6" spans="1:69" x14ac:dyDescent="0.25">
      <c r="A6" s="2" t="s">
        <v>254</v>
      </c>
      <c r="B6" s="10">
        <v>-2</v>
      </c>
      <c r="C6" s="10">
        <v>-2</v>
      </c>
      <c r="D6" s="10"/>
      <c r="E6" s="10"/>
      <c r="F6" s="10"/>
      <c r="G6" s="10"/>
      <c r="H6" s="10">
        <v>-81474</v>
      </c>
      <c r="I6" s="10">
        <v>97477</v>
      </c>
      <c r="J6" s="10">
        <v>-64049</v>
      </c>
      <c r="K6" s="10">
        <v>-198087</v>
      </c>
      <c r="L6" s="10">
        <v>279769</v>
      </c>
      <c r="M6" s="10">
        <v>375149</v>
      </c>
      <c r="N6" s="10"/>
      <c r="O6" s="10"/>
      <c r="P6" s="10">
        <v>-2118</v>
      </c>
      <c r="Q6" s="10">
        <v>-7621</v>
      </c>
      <c r="R6" s="10">
        <v>143561</v>
      </c>
      <c r="S6" s="10">
        <v>77352</v>
      </c>
      <c r="T6" s="10">
        <v>34605</v>
      </c>
      <c r="U6" s="10">
        <v>-13428</v>
      </c>
      <c r="V6" s="10">
        <v>330173</v>
      </c>
      <c r="W6" s="10">
        <v>-145873</v>
      </c>
      <c r="X6" s="10"/>
      <c r="Y6" s="10"/>
      <c r="Z6" s="10">
        <v>286899</v>
      </c>
      <c r="AA6" s="10">
        <v>371890</v>
      </c>
      <c r="AB6" s="10">
        <v>62908</v>
      </c>
      <c r="AC6" s="10">
        <v>199420</v>
      </c>
      <c r="AD6" s="10">
        <v>-66</v>
      </c>
      <c r="AE6" s="10">
        <v>6610</v>
      </c>
      <c r="AF6" s="10">
        <v>27304</v>
      </c>
      <c r="AG6" s="10">
        <v>44621</v>
      </c>
      <c r="AH6" s="10">
        <v>-132539</v>
      </c>
      <c r="AI6" s="10">
        <v>-255972</v>
      </c>
      <c r="AJ6" s="10"/>
      <c r="AK6" s="10"/>
      <c r="AL6" s="10"/>
      <c r="AM6" s="10"/>
      <c r="AN6" s="108">
        <v>910023</v>
      </c>
      <c r="AO6" s="108">
        <v>658675</v>
      </c>
      <c r="AP6" s="10">
        <v>-842133</v>
      </c>
      <c r="AQ6" s="10">
        <v>-845019</v>
      </c>
      <c r="AR6" s="10">
        <v>1857</v>
      </c>
      <c r="AS6" s="10">
        <v>1077</v>
      </c>
      <c r="AT6" s="10">
        <v>268076</v>
      </c>
      <c r="AU6" s="10">
        <v>-188191</v>
      </c>
      <c r="AV6" s="10"/>
      <c r="AW6" s="10"/>
      <c r="AX6" s="10">
        <v>161280</v>
      </c>
      <c r="AY6" s="10">
        <v>108284</v>
      </c>
      <c r="AZ6" s="10">
        <v>1616806</v>
      </c>
      <c r="BA6" s="10">
        <v>1836837</v>
      </c>
      <c r="BB6" s="10">
        <v>58077</v>
      </c>
      <c r="BC6" s="10">
        <v>1018</v>
      </c>
      <c r="BD6" s="10"/>
      <c r="BE6" s="10"/>
      <c r="BF6" s="10">
        <v>172604</v>
      </c>
      <c r="BG6" s="10">
        <v>85387</v>
      </c>
      <c r="BH6" s="10">
        <v>777974</v>
      </c>
      <c r="BI6" s="10">
        <v>-3641422</v>
      </c>
      <c r="BJ6" s="10">
        <v>482529</v>
      </c>
      <c r="BK6" s="10">
        <v>-1151617</v>
      </c>
      <c r="BL6" s="108">
        <v>1202218</v>
      </c>
      <c r="BM6" s="108">
        <v>219772</v>
      </c>
      <c r="BN6" s="10">
        <v>34746</v>
      </c>
      <c r="BO6" s="10">
        <v>-24046</v>
      </c>
      <c r="BP6" s="87">
        <f>B6+D6+F6+H6+J6+L6+N6+P6+R6+T6+V6+X6+Z6+AB6+AD6+AF6+AH6+AJ6+AL6+AN6+AP6+AR6+AT6+AV6+AX6+AZ6+BB6+BD6+BF6+BH6+BJ6+BL6+BN6</f>
        <v>5729028</v>
      </c>
      <c r="BQ6" s="87">
        <f>C6+E6+G6+I6+K6+M6+O6+Q6+S6+U6+W6+Y6+AA6+AC6+AE6+AG6+AI6+AK6+AM6+AO6+AQ6+AS6+AU6+AW6+AY6+BA6+BC6+BE6+BG6+BI6+BK6+BM6+BO6</f>
        <v>-2387709</v>
      </c>
    </row>
    <row r="7" spans="1:69" x14ac:dyDescent="0.25">
      <c r="A7" s="2" t="s">
        <v>255</v>
      </c>
      <c r="B7" s="10"/>
      <c r="C7" s="10"/>
      <c r="D7" s="10"/>
      <c r="E7" s="10"/>
      <c r="F7" s="10"/>
      <c r="G7" s="10"/>
      <c r="H7" s="10">
        <v>-51423</v>
      </c>
      <c r="I7" s="10">
        <v>-24115</v>
      </c>
      <c r="J7" s="10">
        <v>-4659</v>
      </c>
      <c r="K7" s="10">
        <v>-21996</v>
      </c>
      <c r="L7" s="10">
        <v>-936</v>
      </c>
      <c r="M7" s="10">
        <v>23177</v>
      </c>
      <c r="N7" s="10"/>
      <c r="O7" s="10"/>
      <c r="P7" s="10">
        <v>-2305</v>
      </c>
      <c r="Q7" s="71">
        <v>-2497</v>
      </c>
      <c r="R7" s="71">
        <v>-41169</v>
      </c>
      <c r="S7" s="71">
        <v>-55615</v>
      </c>
      <c r="T7" s="71">
        <v>-1435</v>
      </c>
      <c r="U7" s="71">
        <v>-5519</v>
      </c>
      <c r="V7" s="71">
        <v>-44574</v>
      </c>
      <c r="W7" s="71">
        <v>-155434</v>
      </c>
      <c r="X7" s="71"/>
      <c r="Y7" s="71"/>
      <c r="Z7" s="71">
        <v>-6633</v>
      </c>
      <c r="AA7" s="71">
        <v>-97933</v>
      </c>
      <c r="AB7" s="71">
        <v>47761</v>
      </c>
      <c r="AC7" s="71">
        <v>113931</v>
      </c>
      <c r="AD7" s="71"/>
      <c r="AE7" s="71"/>
      <c r="AF7" s="71">
        <v>-30096</v>
      </c>
      <c r="AG7" s="71">
        <v>-10884</v>
      </c>
      <c r="AH7" s="71">
        <v>-10795</v>
      </c>
      <c r="AI7" s="71">
        <v>-18420</v>
      </c>
      <c r="AJ7" s="71"/>
      <c r="AK7" s="10"/>
      <c r="AL7" s="10"/>
      <c r="AM7" s="10"/>
      <c r="AN7" s="108">
        <v>-135014</v>
      </c>
      <c r="AO7" s="108">
        <v>-220722</v>
      </c>
      <c r="AP7" s="10"/>
      <c r="AQ7" s="10"/>
      <c r="AR7" s="10">
        <v>-87</v>
      </c>
      <c r="AS7" s="10">
        <v>-143</v>
      </c>
      <c r="AT7" s="10">
        <v>38027</v>
      </c>
      <c r="AU7" s="10">
        <v>49999</v>
      </c>
      <c r="AV7" s="10"/>
      <c r="AW7" s="10"/>
      <c r="AX7" s="10">
        <v>27078</v>
      </c>
      <c r="AY7" s="10">
        <v>36102</v>
      </c>
      <c r="AZ7" s="10">
        <v>2149</v>
      </c>
      <c r="BA7" s="10">
        <v>-44874</v>
      </c>
      <c r="BB7" s="10">
        <v>1089</v>
      </c>
      <c r="BC7" s="10">
        <v>3929</v>
      </c>
      <c r="BD7" s="10"/>
      <c r="BE7" s="10"/>
      <c r="BF7" s="10">
        <v>147360</v>
      </c>
      <c r="BG7" s="10">
        <v>220084</v>
      </c>
      <c r="BH7" s="10">
        <v>150704</v>
      </c>
      <c r="BI7" s="10">
        <v>389494</v>
      </c>
      <c r="BJ7" s="10">
        <v>87784</v>
      </c>
      <c r="BK7" s="10">
        <v>124533</v>
      </c>
      <c r="BL7" s="108">
        <v>-15818</v>
      </c>
      <c r="BM7" s="108">
        <v>189155</v>
      </c>
      <c r="BN7" s="10">
        <v>4341</v>
      </c>
      <c r="BO7" s="10">
        <v>14135</v>
      </c>
      <c r="BP7" s="87">
        <f t="shared" ref="BP7:BP8" si="0">B7+D7+F7+H7+J7+L7+N7+P7+R7+T7+V7+X7+Z7+AB7+AD7+AF7+AH7+AJ7+AL7+AN7+AP7+AR7+AT7+AV7+AX7+AZ7+BB7+BD7+BF7+BH7+BJ7+BL7+BN7</f>
        <v>161349</v>
      </c>
      <c r="BQ7" s="87">
        <f t="shared" ref="BQ7:BQ8" si="1">C7+E7+G7+I7+K7+M7+O7+Q7+S7+U7+W7+Y7+AA7+AC7+AE7+AG7+AI7+AK7+AM7+AO7+AQ7+AS7+AU7+AW7+AY7+BA7+BC7+BE7+BG7+BI7+BK7+BM7+BO7</f>
        <v>506387</v>
      </c>
    </row>
    <row r="8" spans="1:69" x14ac:dyDescent="0.25">
      <c r="A8" s="2" t="s">
        <v>256</v>
      </c>
      <c r="B8" s="10">
        <v>-240438</v>
      </c>
      <c r="C8" s="10">
        <v>-409779</v>
      </c>
      <c r="D8" s="10">
        <v>-682160</v>
      </c>
      <c r="E8" s="10">
        <v>-1305550</v>
      </c>
      <c r="F8" s="10">
        <v>1753671</v>
      </c>
      <c r="G8" s="10">
        <v>2402167</v>
      </c>
      <c r="H8" s="10">
        <v>3499092</v>
      </c>
      <c r="I8" s="10">
        <v>8055882</v>
      </c>
      <c r="J8" s="10">
        <v>555369</v>
      </c>
      <c r="K8" s="10">
        <v>1248152</v>
      </c>
      <c r="L8" s="10">
        <v>1154861</v>
      </c>
      <c r="M8" s="10">
        <v>3538979</v>
      </c>
      <c r="N8" s="10">
        <v>-884091.37</v>
      </c>
      <c r="O8" s="10">
        <v>-1404248.04</v>
      </c>
      <c r="P8" s="10">
        <v>-234696</v>
      </c>
      <c r="Q8" s="10">
        <v>-460983</v>
      </c>
      <c r="R8" s="10">
        <v>105015</v>
      </c>
      <c r="S8" s="10">
        <v>701156</v>
      </c>
      <c r="T8" s="10">
        <v>-91735</v>
      </c>
      <c r="U8" s="10">
        <v>237284</v>
      </c>
      <c r="V8" s="10">
        <v>1509909</v>
      </c>
      <c r="W8" s="10">
        <v>3833447</v>
      </c>
      <c r="X8" s="10">
        <v>152944</v>
      </c>
      <c r="Y8" s="10">
        <v>-839598</v>
      </c>
      <c r="Z8" s="10">
        <v>3894586</v>
      </c>
      <c r="AA8" s="10">
        <v>8340783</v>
      </c>
      <c r="AB8" s="10">
        <v>1090944</v>
      </c>
      <c r="AC8" s="10">
        <v>2391316</v>
      </c>
      <c r="AD8" s="10">
        <v>29273</v>
      </c>
      <c r="AE8" s="10">
        <v>109336</v>
      </c>
      <c r="AF8" s="10">
        <v>-1866</v>
      </c>
      <c r="AG8" s="10">
        <v>806442</v>
      </c>
      <c r="AH8" s="10">
        <v>314625</v>
      </c>
      <c r="AI8" s="10">
        <v>632514</v>
      </c>
      <c r="AJ8" s="10">
        <v>-761653</v>
      </c>
      <c r="AK8" s="10">
        <v>-645894</v>
      </c>
      <c r="AL8" s="10">
        <v>225895</v>
      </c>
      <c r="AM8" s="10">
        <v>565566</v>
      </c>
      <c r="AN8" s="108">
        <v>2896460</v>
      </c>
      <c r="AO8" s="108">
        <v>6411332</v>
      </c>
      <c r="AP8" s="10">
        <v>-206921</v>
      </c>
      <c r="AQ8" s="10">
        <v>-319854</v>
      </c>
      <c r="AR8" s="10">
        <v>-93827</v>
      </c>
      <c r="AS8" s="10">
        <v>-135032</v>
      </c>
      <c r="AT8" s="10">
        <v>964249</v>
      </c>
      <c r="AU8" s="10">
        <v>2288953</v>
      </c>
      <c r="AV8" s="10">
        <v>-69449</v>
      </c>
      <c r="AW8" s="10">
        <v>39513</v>
      </c>
      <c r="AX8" s="10">
        <v>642721</v>
      </c>
      <c r="AY8" s="10">
        <v>1960362</v>
      </c>
      <c r="AZ8" s="10">
        <v>127770</v>
      </c>
      <c r="BA8" s="10">
        <v>1418306</v>
      </c>
      <c r="BB8" s="10">
        <v>1106091</v>
      </c>
      <c r="BC8" s="10">
        <v>3737192</v>
      </c>
      <c r="BD8" s="10">
        <v>-674716</v>
      </c>
      <c r="BE8" s="10">
        <v>1199465</v>
      </c>
      <c r="BF8" s="10">
        <v>616503</v>
      </c>
      <c r="BG8" s="10">
        <v>2983640</v>
      </c>
      <c r="BH8" s="10">
        <v>2959560</v>
      </c>
      <c r="BI8" s="10">
        <v>9095523</v>
      </c>
      <c r="BJ8" s="10">
        <v>-1170855</v>
      </c>
      <c r="BK8" s="10">
        <v>899805</v>
      </c>
      <c r="BL8" s="108">
        <v>-5563930</v>
      </c>
      <c r="BM8" s="108">
        <v>648021</v>
      </c>
      <c r="BN8" s="10">
        <v>369618</v>
      </c>
      <c r="BO8" s="10">
        <v>840190</v>
      </c>
      <c r="BP8" s="87">
        <f t="shared" si="0"/>
        <v>13292818.629999999</v>
      </c>
      <c r="BQ8" s="87">
        <f t="shared" si="1"/>
        <v>58864387.960000001</v>
      </c>
    </row>
    <row r="9" spans="1:69" x14ac:dyDescent="0.25">
      <c r="A9" s="3" t="s">
        <v>257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87"/>
      <c r="BQ9" s="87"/>
    </row>
    <row r="10" spans="1:69" x14ac:dyDescent="0.25">
      <c r="A10" s="2" t="s">
        <v>258</v>
      </c>
      <c r="B10" s="10">
        <v>22844</v>
      </c>
      <c r="C10" s="10">
        <v>49620</v>
      </c>
      <c r="D10" s="10">
        <v>52530</v>
      </c>
      <c r="E10" s="10">
        <v>98380</v>
      </c>
      <c r="F10" s="10">
        <v>209719</v>
      </c>
      <c r="G10" s="10">
        <v>663137</v>
      </c>
      <c r="H10" s="10">
        <v>709494</v>
      </c>
      <c r="I10" s="10">
        <v>1356687</v>
      </c>
      <c r="J10" s="10">
        <v>163274</v>
      </c>
      <c r="K10" s="10">
        <v>301074</v>
      </c>
      <c r="L10" s="10">
        <v>179518</v>
      </c>
      <c r="M10" s="10">
        <v>332245</v>
      </c>
      <c r="N10" s="10">
        <v>932900.28</v>
      </c>
      <c r="O10" s="10">
        <v>1848689.61</v>
      </c>
      <c r="P10" s="10">
        <v>12565</v>
      </c>
      <c r="Q10" s="10">
        <v>30712</v>
      </c>
      <c r="R10" s="10">
        <f>177162-2745</f>
        <v>174417</v>
      </c>
      <c r="S10" s="10">
        <f>332017-4310</f>
        <v>327707</v>
      </c>
      <c r="T10" s="10">
        <v>126235</v>
      </c>
      <c r="U10" s="10">
        <v>247198</v>
      </c>
      <c r="V10" s="10">
        <v>347367</v>
      </c>
      <c r="W10" s="10">
        <v>668457</v>
      </c>
      <c r="X10" s="10">
        <v>85204</v>
      </c>
      <c r="Y10" s="10">
        <v>176690</v>
      </c>
      <c r="Z10" s="10">
        <v>1111952</v>
      </c>
      <c r="AA10" s="10">
        <v>2119052</v>
      </c>
      <c r="AB10" s="10">
        <v>475015</v>
      </c>
      <c r="AC10" s="10">
        <v>916655</v>
      </c>
      <c r="AD10" s="10">
        <v>28440</v>
      </c>
      <c r="AE10" s="10">
        <v>56745</v>
      </c>
      <c r="AF10" s="10">
        <v>165930</v>
      </c>
      <c r="AG10" s="10">
        <v>300266</v>
      </c>
      <c r="AH10" s="10">
        <v>65082</v>
      </c>
      <c r="AI10" s="10">
        <v>121528</v>
      </c>
      <c r="AJ10" s="10">
        <v>34660</v>
      </c>
      <c r="AK10" s="10">
        <v>70663</v>
      </c>
      <c r="AL10" s="10">
        <v>74282</v>
      </c>
      <c r="AM10" s="10">
        <v>142331</v>
      </c>
      <c r="AN10" s="10"/>
      <c r="AO10" s="10"/>
      <c r="AP10" s="10">
        <v>46990</v>
      </c>
      <c r="AQ10" s="10">
        <v>84669</v>
      </c>
      <c r="AR10" s="10">
        <v>38910</v>
      </c>
      <c r="AS10" s="10">
        <v>59069</v>
      </c>
      <c r="AT10" s="10">
        <v>466782</v>
      </c>
      <c r="AU10" s="10">
        <v>757373</v>
      </c>
      <c r="AV10" s="10">
        <v>160629</v>
      </c>
      <c r="AW10" s="10">
        <v>259553</v>
      </c>
      <c r="AX10" s="10">
        <v>214111</v>
      </c>
      <c r="AY10" s="10">
        <v>404235</v>
      </c>
      <c r="AZ10" s="10">
        <v>321497</v>
      </c>
      <c r="BA10" s="10">
        <v>606595</v>
      </c>
      <c r="BB10" s="10">
        <v>239021</v>
      </c>
      <c r="BC10" s="10">
        <v>521508</v>
      </c>
      <c r="BD10" s="10">
        <v>332014</v>
      </c>
      <c r="BE10" s="10">
        <v>706780</v>
      </c>
      <c r="BF10" s="10">
        <v>478591</v>
      </c>
      <c r="BG10" s="10">
        <v>931806</v>
      </c>
      <c r="BH10" s="10">
        <v>3287301</v>
      </c>
      <c r="BI10" s="10">
        <v>5639408</v>
      </c>
      <c r="BJ10" s="10">
        <v>390185</v>
      </c>
      <c r="BK10" s="10">
        <v>454839</v>
      </c>
      <c r="BL10" s="108">
        <v>643474</v>
      </c>
      <c r="BM10" s="108">
        <v>879231</v>
      </c>
      <c r="BN10" s="10">
        <v>166082</v>
      </c>
      <c r="BO10" s="10">
        <v>322506</v>
      </c>
      <c r="BP10" s="87">
        <f t="shared" ref="BP10:BP15" si="2">B10+D10+F10+H10+J10+L10+N10+P10+R10+T10+V10+X10+Z10+AB10+AD10+AF10+AH10+AJ10+AL10+AN10+AP10+AR10+AT10+AV10+AX10+AZ10+BB10+BD10+BF10+BH10+BJ10+BL10+BN10</f>
        <v>11757015.280000001</v>
      </c>
      <c r="BQ10" s="87">
        <f t="shared" ref="BQ10:BQ15" si="3">C10+E10+G10+I10+K10+M10+O10+Q10+S10+U10+W10+Y10+AA10+AC10+AE10+AG10+AI10+AK10+AM10+AO10+AQ10+AS10+AU10+AW10+AY10+BA10+BC10+BE10+BG10+BI10+BK10+BM10+BO10</f>
        <v>21455408.609999999</v>
      </c>
    </row>
    <row r="11" spans="1:69" x14ac:dyDescent="0.25">
      <c r="A11" s="2" t="s">
        <v>259</v>
      </c>
      <c r="B11" s="10">
        <v>18665</v>
      </c>
      <c r="C11" s="10">
        <v>32973</v>
      </c>
      <c r="D11" s="10">
        <v>318</v>
      </c>
      <c r="E11" s="10">
        <v>8580</v>
      </c>
      <c r="F11" s="10">
        <v>21417</v>
      </c>
      <c r="G11" s="10">
        <v>31713</v>
      </c>
      <c r="H11" s="10">
        <v>491349</v>
      </c>
      <c r="I11" s="10">
        <v>491382</v>
      </c>
      <c r="J11" s="10">
        <v>37255</v>
      </c>
      <c r="K11" s="10">
        <v>45416</v>
      </c>
      <c r="L11" s="10">
        <v>37805</v>
      </c>
      <c r="M11" s="10">
        <v>75181</v>
      </c>
      <c r="N11" s="10">
        <v>76783.67</v>
      </c>
      <c r="O11" s="10">
        <v>134168.07</v>
      </c>
      <c r="P11" s="10">
        <v>13353</v>
      </c>
      <c r="Q11" s="10">
        <v>23569</v>
      </c>
      <c r="R11" s="10">
        <v>18646</v>
      </c>
      <c r="S11" s="10">
        <v>29302</v>
      </c>
      <c r="T11" s="10">
        <v>7885</v>
      </c>
      <c r="U11" s="10">
        <v>8724</v>
      </c>
      <c r="V11" s="10">
        <v>25331</v>
      </c>
      <c r="W11" s="10">
        <v>60219</v>
      </c>
      <c r="X11" s="10">
        <v>24144</v>
      </c>
      <c r="Y11" s="10">
        <v>31957</v>
      </c>
      <c r="Z11" s="10">
        <v>349151</v>
      </c>
      <c r="AA11" s="10">
        <v>698492</v>
      </c>
      <c r="AB11" s="10">
        <v>106334</v>
      </c>
      <c r="AC11" s="10">
        <v>122749</v>
      </c>
      <c r="AD11" s="10">
        <v>13734</v>
      </c>
      <c r="AE11" s="10">
        <v>25970</v>
      </c>
      <c r="AF11" s="10">
        <v>15389</v>
      </c>
      <c r="AG11" s="10">
        <v>17124</v>
      </c>
      <c r="AH11" s="10">
        <v>29974</v>
      </c>
      <c r="AI11" s="10">
        <v>41128</v>
      </c>
      <c r="AJ11" s="10">
        <v>16112</v>
      </c>
      <c r="AK11" s="10">
        <v>25032</v>
      </c>
      <c r="AL11" s="10">
        <v>6921</v>
      </c>
      <c r="AM11" s="10">
        <v>9382</v>
      </c>
      <c r="AN11" s="10"/>
      <c r="AO11" s="10"/>
      <c r="AP11" s="10">
        <v>19942</v>
      </c>
      <c r="AQ11" s="10">
        <v>28475</v>
      </c>
      <c r="AR11" s="10">
        <v>5328</v>
      </c>
      <c r="AS11" s="10">
        <v>6349</v>
      </c>
      <c r="AT11" s="10">
        <v>192171</v>
      </c>
      <c r="AU11" s="10">
        <v>280743</v>
      </c>
      <c r="AV11" s="10">
        <v>9225</v>
      </c>
      <c r="AW11" s="10">
        <v>22675</v>
      </c>
      <c r="AX11" s="10">
        <v>69737</v>
      </c>
      <c r="AY11" s="10">
        <v>115347</v>
      </c>
      <c r="AZ11" s="10">
        <v>117769</v>
      </c>
      <c r="BA11" s="10">
        <v>239775</v>
      </c>
      <c r="BB11" s="10">
        <v>69412</v>
      </c>
      <c r="BC11" s="10">
        <v>87865</v>
      </c>
      <c r="BD11" s="10">
        <v>1464</v>
      </c>
      <c r="BE11" s="10">
        <v>1549</v>
      </c>
      <c r="BF11" s="10">
        <v>159603</v>
      </c>
      <c r="BG11" s="10">
        <v>248625</v>
      </c>
      <c r="BH11" s="10">
        <v>1102209</v>
      </c>
      <c r="BI11" s="10">
        <v>1333131</v>
      </c>
      <c r="BJ11" s="10">
        <v>119519</v>
      </c>
      <c r="BK11" s="10">
        <v>127526</v>
      </c>
      <c r="BL11" s="108">
        <v>221615</v>
      </c>
      <c r="BM11" s="108">
        <v>326593</v>
      </c>
      <c r="BN11" s="10">
        <v>9244</v>
      </c>
      <c r="BO11" s="10">
        <v>17098</v>
      </c>
      <c r="BP11" s="87">
        <f t="shared" si="2"/>
        <v>3407804.67</v>
      </c>
      <c r="BQ11" s="87">
        <f t="shared" si="3"/>
        <v>4748812.07</v>
      </c>
    </row>
    <row r="12" spans="1:69" x14ac:dyDescent="0.25">
      <c r="A12" s="2" t="s">
        <v>260</v>
      </c>
      <c r="B12" s="10">
        <v>16001</v>
      </c>
      <c r="C12" s="10">
        <v>16777</v>
      </c>
      <c r="D12" s="10"/>
      <c r="E12" s="10"/>
      <c r="F12" s="10"/>
      <c r="G12" s="10"/>
      <c r="H12" s="10">
        <v>-193064</v>
      </c>
      <c r="I12" s="10">
        <v>-193064</v>
      </c>
      <c r="J12" s="10"/>
      <c r="K12" s="10"/>
      <c r="L12" s="10"/>
      <c r="M12" s="10"/>
      <c r="N12" s="10"/>
      <c r="O12" s="10">
        <v>-0.01</v>
      </c>
      <c r="P12" s="10">
        <v>-967</v>
      </c>
      <c r="Q12" s="10">
        <v>-34058</v>
      </c>
      <c r="R12" s="10">
        <v>-3165</v>
      </c>
      <c r="S12" s="10">
        <v>-10590</v>
      </c>
      <c r="T12" s="10"/>
      <c r="U12" s="10"/>
      <c r="V12" s="23"/>
      <c r="W12" s="10"/>
      <c r="X12" s="10">
        <v>-199</v>
      </c>
      <c r="Y12" s="10">
        <v>-199</v>
      </c>
      <c r="Z12" s="10">
        <v>-224887</v>
      </c>
      <c r="AA12" s="10">
        <v>-436553</v>
      </c>
      <c r="AB12" s="10"/>
      <c r="AC12" s="10"/>
      <c r="AD12" s="10">
        <v>-205</v>
      </c>
      <c r="AE12" s="10">
        <v>-205</v>
      </c>
      <c r="AF12" s="10"/>
      <c r="AG12" s="10"/>
      <c r="AH12" s="10">
        <v>-307</v>
      </c>
      <c r="AI12" s="10">
        <v>-315</v>
      </c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>
        <v>-4315</v>
      </c>
      <c r="AU12" s="10">
        <v>-4863</v>
      </c>
      <c r="AV12" s="10"/>
      <c r="AW12" s="10"/>
      <c r="AX12" s="10">
        <v>-37505</v>
      </c>
      <c r="AY12" s="10">
        <v>-56854</v>
      </c>
      <c r="AZ12" s="10">
        <v>-9388</v>
      </c>
      <c r="BA12" s="10">
        <v>-9388</v>
      </c>
      <c r="BB12" s="10"/>
      <c r="BC12" s="10"/>
      <c r="BD12" s="10"/>
      <c r="BE12" s="10"/>
      <c r="BF12" s="10">
        <v>-18284</v>
      </c>
      <c r="BG12" s="10">
        <v>-24929</v>
      </c>
      <c r="BH12" s="10"/>
      <c r="BI12" s="10"/>
      <c r="BJ12" s="10"/>
      <c r="BK12" s="10"/>
      <c r="BL12" s="10"/>
      <c r="BM12" s="10"/>
      <c r="BN12" s="10">
        <v>-238</v>
      </c>
      <c r="BO12" s="10">
        <v>-1568</v>
      </c>
      <c r="BP12" s="87">
        <f t="shared" si="2"/>
        <v>-476523</v>
      </c>
      <c r="BQ12" s="87">
        <f t="shared" si="3"/>
        <v>-755809.01</v>
      </c>
    </row>
    <row r="13" spans="1:69" ht="15" customHeight="1" x14ac:dyDescent="0.25">
      <c r="A13" s="2" t="s">
        <v>261</v>
      </c>
      <c r="B13" s="10"/>
      <c r="C13" s="10"/>
      <c r="D13" s="10">
        <v>-4983</v>
      </c>
      <c r="E13" s="10">
        <v>-8693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87">
        <f t="shared" si="2"/>
        <v>-4983</v>
      </c>
      <c r="BQ13" s="87">
        <f t="shared" si="3"/>
        <v>-8693</v>
      </c>
    </row>
    <row r="14" spans="1:69" x14ac:dyDescent="0.25">
      <c r="A14" s="10" t="s">
        <v>262</v>
      </c>
      <c r="B14" s="10"/>
      <c r="C14" s="10"/>
      <c r="D14" s="10"/>
      <c r="E14" s="10"/>
      <c r="F14" s="10"/>
      <c r="G14" s="10"/>
      <c r="H14" s="10">
        <v>-202196</v>
      </c>
      <c r="I14" s="10">
        <v>-201341</v>
      </c>
      <c r="J14" s="10">
        <v>-5505</v>
      </c>
      <c r="K14" s="10">
        <v>-6917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>
        <v>-2867</v>
      </c>
      <c r="Y14" s="10">
        <v>-5492</v>
      </c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>
        <v>-5534</v>
      </c>
      <c r="AM14" s="10">
        <v>-7122</v>
      </c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>
        <v>-6229</v>
      </c>
      <c r="BC14" s="10">
        <v>-12598</v>
      </c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>
        <v>-12235</v>
      </c>
      <c r="BO14" s="10">
        <v>-23308</v>
      </c>
      <c r="BP14" s="87">
        <f t="shared" si="2"/>
        <v>-234566</v>
      </c>
      <c r="BQ14" s="87">
        <f t="shared" si="3"/>
        <v>-256778</v>
      </c>
    </row>
    <row r="15" spans="1:69" x14ac:dyDescent="0.25">
      <c r="A15" s="3" t="s">
        <v>263</v>
      </c>
      <c r="B15" s="10">
        <f>B16-B14-B13-B12-B11-B10-B8-B7-B6</f>
        <v>-7002</v>
      </c>
      <c r="C15" s="10">
        <f t="shared" ref="C15:AI15" si="4">C16-C14-C13-C12-C11-C10-C8-C7-C6</f>
        <v>-8554</v>
      </c>
      <c r="D15" s="10">
        <f t="shared" si="4"/>
        <v>0</v>
      </c>
      <c r="E15" s="10">
        <f t="shared" si="4"/>
        <v>0</v>
      </c>
      <c r="F15" s="10">
        <f t="shared" si="4"/>
        <v>4729</v>
      </c>
      <c r="G15" s="10">
        <f t="shared" si="4"/>
        <v>15916</v>
      </c>
      <c r="H15" s="10">
        <f t="shared" si="4"/>
        <v>1119</v>
      </c>
      <c r="I15" s="10">
        <f t="shared" si="4"/>
        <v>3635</v>
      </c>
      <c r="J15" s="10">
        <f t="shared" si="4"/>
        <v>0</v>
      </c>
      <c r="K15" s="10">
        <f t="shared" si="4"/>
        <v>0</v>
      </c>
      <c r="L15" s="10">
        <f t="shared" si="4"/>
        <v>0</v>
      </c>
      <c r="M15" s="10">
        <f t="shared" si="4"/>
        <v>0</v>
      </c>
      <c r="N15" s="10">
        <f t="shared" si="4"/>
        <v>10568.270000000019</v>
      </c>
      <c r="O15" s="10">
        <f t="shared" si="4"/>
        <v>21176.909999999916</v>
      </c>
      <c r="P15" s="10">
        <f t="shared" si="4"/>
        <v>0</v>
      </c>
      <c r="Q15" s="10">
        <f t="shared" si="4"/>
        <v>0</v>
      </c>
      <c r="R15" s="10">
        <f t="shared" si="4"/>
        <v>0</v>
      </c>
      <c r="S15" s="10">
        <f t="shared" si="4"/>
        <v>0</v>
      </c>
      <c r="T15" s="10">
        <f t="shared" si="4"/>
        <v>138</v>
      </c>
      <c r="U15" s="10">
        <f t="shared" si="4"/>
        <v>143</v>
      </c>
      <c r="V15" s="10">
        <f t="shared" si="4"/>
        <v>1</v>
      </c>
      <c r="W15" s="10">
        <f t="shared" si="4"/>
        <v>0</v>
      </c>
      <c r="X15" s="10">
        <f t="shared" si="4"/>
        <v>1965</v>
      </c>
      <c r="Y15" s="10">
        <f t="shared" si="4"/>
        <v>2254</v>
      </c>
      <c r="Z15" s="10">
        <f t="shared" si="4"/>
        <v>857</v>
      </c>
      <c r="AA15" s="10">
        <f t="shared" si="4"/>
        <v>1103</v>
      </c>
      <c r="AB15" s="10">
        <f t="shared" si="4"/>
        <v>21936</v>
      </c>
      <c r="AC15" s="10">
        <f t="shared" si="4"/>
        <v>36427</v>
      </c>
      <c r="AD15" s="10">
        <f t="shared" si="4"/>
        <v>64</v>
      </c>
      <c r="AE15" s="10">
        <f t="shared" si="4"/>
        <v>126</v>
      </c>
      <c r="AF15" s="10">
        <f t="shared" si="4"/>
        <v>0</v>
      </c>
      <c r="AG15" s="10">
        <f t="shared" si="4"/>
        <v>2</v>
      </c>
      <c r="AH15" s="10">
        <f t="shared" si="4"/>
        <v>0</v>
      </c>
      <c r="AI15" s="10">
        <f t="shared" si="4"/>
        <v>0</v>
      </c>
      <c r="AJ15" s="10">
        <f t="shared" ref="AJ15:BO15" si="5">AJ16-AJ14-AJ13-AJ12-AJ11-AJ10-AJ8-AJ7-AJ6</f>
        <v>1</v>
      </c>
      <c r="AK15" s="10">
        <f t="shared" si="5"/>
        <v>0</v>
      </c>
      <c r="AL15" s="10">
        <f t="shared" si="5"/>
        <v>-341</v>
      </c>
      <c r="AM15" s="10">
        <f t="shared" si="5"/>
        <v>1230</v>
      </c>
      <c r="AN15" s="10">
        <f t="shared" si="5"/>
        <v>-14977</v>
      </c>
      <c r="AO15" s="10">
        <f t="shared" si="5"/>
        <v>284815</v>
      </c>
      <c r="AP15" s="10">
        <f t="shared" si="5"/>
        <v>32</v>
      </c>
      <c r="AQ15" s="10">
        <f t="shared" si="5"/>
        <v>43</v>
      </c>
      <c r="AR15" s="10">
        <f t="shared" si="5"/>
        <v>6</v>
      </c>
      <c r="AS15" s="10">
        <f t="shared" si="5"/>
        <v>3</v>
      </c>
      <c r="AT15" s="10">
        <f t="shared" si="5"/>
        <v>6951</v>
      </c>
      <c r="AU15" s="10">
        <f t="shared" si="5"/>
        <v>13851</v>
      </c>
      <c r="AV15" s="10">
        <f t="shared" si="5"/>
        <v>0</v>
      </c>
      <c r="AW15" s="10">
        <f t="shared" si="5"/>
        <v>0</v>
      </c>
      <c r="AX15" s="10">
        <f t="shared" si="5"/>
        <v>122</v>
      </c>
      <c r="AY15" s="10">
        <f t="shared" si="5"/>
        <v>259</v>
      </c>
      <c r="AZ15" s="10">
        <f t="shared" si="5"/>
        <v>1899</v>
      </c>
      <c r="BA15" s="10">
        <f t="shared" si="5"/>
        <v>2429</v>
      </c>
      <c r="BB15" s="10">
        <f t="shared" si="5"/>
        <v>0</v>
      </c>
      <c r="BC15" s="10">
        <f t="shared" si="5"/>
        <v>-1</v>
      </c>
      <c r="BD15" s="10">
        <f t="shared" si="5"/>
        <v>18783</v>
      </c>
      <c r="BE15" s="10">
        <f t="shared" si="5"/>
        <v>19016</v>
      </c>
      <c r="BF15" s="10">
        <f t="shared" si="5"/>
        <v>4088</v>
      </c>
      <c r="BG15" s="10">
        <f t="shared" si="5"/>
        <v>35976</v>
      </c>
      <c r="BH15" s="10">
        <f t="shared" si="5"/>
        <v>148828</v>
      </c>
      <c r="BI15" s="10">
        <f t="shared" si="5"/>
        <v>166324</v>
      </c>
      <c r="BJ15" s="10">
        <f t="shared" si="5"/>
        <v>174425</v>
      </c>
      <c r="BK15" s="10">
        <f t="shared" si="5"/>
        <v>214405</v>
      </c>
      <c r="BL15" s="10">
        <f t="shared" si="5"/>
        <v>-33822</v>
      </c>
      <c r="BM15" s="10">
        <f t="shared" si="5"/>
        <v>-24764</v>
      </c>
      <c r="BN15" s="10">
        <f t="shared" si="5"/>
        <v>0</v>
      </c>
      <c r="BO15" s="10">
        <f t="shared" si="5"/>
        <v>0</v>
      </c>
      <c r="BP15" s="87">
        <f t="shared" si="2"/>
        <v>340370.27</v>
      </c>
      <c r="BQ15" s="87">
        <f t="shared" si="3"/>
        <v>785814.90999999992</v>
      </c>
    </row>
    <row r="16" spans="1:69" s="8" customFormat="1" x14ac:dyDescent="0.25">
      <c r="A16" s="3" t="s">
        <v>26</v>
      </c>
      <c r="B16" s="11">
        <v>-189932</v>
      </c>
      <c r="C16" s="11">
        <v>-318965</v>
      </c>
      <c r="D16" s="11">
        <v>-634295</v>
      </c>
      <c r="E16" s="11">
        <v>-1207283</v>
      </c>
      <c r="F16" s="11">
        <v>1989536</v>
      </c>
      <c r="G16" s="11">
        <v>3112933</v>
      </c>
      <c r="H16" s="11">
        <v>4172897</v>
      </c>
      <c r="I16" s="11">
        <v>9586543</v>
      </c>
      <c r="J16" s="11">
        <v>681685</v>
      </c>
      <c r="K16" s="11">
        <v>1367642</v>
      </c>
      <c r="L16" s="11">
        <v>1651017</v>
      </c>
      <c r="M16" s="11">
        <v>4344731</v>
      </c>
      <c r="N16" s="11">
        <v>136160.85</v>
      </c>
      <c r="O16" s="11">
        <v>599786.54</v>
      </c>
      <c r="P16" s="11">
        <v>-214168</v>
      </c>
      <c r="Q16" s="11">
        <v>-450878</v>
      </c>
      <c r="R16" s="11">
        <v>397305</v>
      </c>
      <c r="S16" s="11">
        <v>1069312</v>
      </c>
      <c r="T16" s="11">
        <v>75693</v>
      </c>
      <c r="U16" s="11">
        <v>474402</v>
      </c>
      <c r="V16" s="11">
        <v>2168207</v>
      </c>
      <c r="W16" s="11">
        <v>4260816</v>
      </c>
      <c r="X16" s="11">
        <v>261191</v>
      </c>
      <c r="Y16" s="11">
        <v>-634388</v>
      </c>
      <c r="Z16" s="11">
        <v>5411925</v>
      </c>
      <c r="AA16" s="11">
        <v>10996834</v>
      </c>
      <c r="AB16" s="11">
        <v>1804898</v>
      </c>
      <c r="AC16" s="11">
        <v>3780498</v>
      </c>
      <c r="AD16" s="11">
        <v>71240</v>
      </c>
      <c r="AE16" s="11">
        <v>198582</v>
      </c>
      <c r="AF16" s="11">
        <v>176661</v>
      </c>
      <c r="AG16" s="11">
        <v>1157571</v>
      </c>
      <c r="AH16" s="11">
        <v>266040</v>
      </c>
      <c r="AI16" s="11">
        <v>520463</v>
      </c>
      <c r="AJ16" s="11">
        <v>-710880</v>
      </c>
      <c r="AK16" s="11">
        <v>-550199</v>
      </c>
      <c r="AL16" s="11">
        <v>301223</v>
      </c>
      <c r="AM16" s="11">
        <v>711387</v>
      </c>
      <c r="AN16" s="11">
        <v>3656492</v>
      </c>
      <c r="AO16" s="11">
        <v>7134100</v>
      </c>
      <c r="AP16" s="11">
        <v>-982090</v>
      </c>
      <c r="AQ16" s="11">
        <v>-1051686</v>
      </c>
      <c r="AR16" s="11">
        <v>-47813</v>
      </c>
      <c r="AS16" s="11">
        <v>-68677</v>
      </c>
      <c r="AT16" s="11">
        <v>1931941</v>
      </c>
      <c r="AU16" s="11">
        <v>3197865</v>
      </c>
      <c r="AV16" s="11">
        <v>100405</v>
      </c>
      <c r="AW16" s="11">
        <v>321741</v>
      </c>
      <c r="AX16" s="11">
        <v>1077544</v>
      </c>
      <c r="AY16" s="11">
        <v>2567735</v>
      </c>
      <c r="AZ16" s="11">
        <v>2178502</v>
      </c>
      <c r="BA16" s="11">
        <v>4049680</v>
      </c>
      <c r="BB16" s="11">
        <v>1467461</v>
      </c>
      <c r="BC16" s="11">
        <v>4338913</v>
      </c>
      <c r="BD16" s="11">
        <v>-322455</v>
      </c>
      <c r="BE16" s="11">
        <v>1926810</v>
      </c>
      <c r="BF16" s="11">
        <v>1560465</v>
      </c>
      <c r="BG16" s="11">
        <v>4480589</v>
      </c>
      <c r="BH16" s="11">
        <v>8426576</v>
      </c>
      <c r="BI16" s="11">
        <v>12982458</v>
      </c>
      <c r="BJ16" s="11">
        <v>83587</v>
      </c>
      <c r="BK16" s="11">
        <v>669491</v>
      </c>
      <c r="BL16" s="11">
        <v>-3546263</v>
      </c>
      <c r="BM16" s="11">
        <v>2238008</v>
      </c>
      <c r="BN16" s="11">
        <v>571558</v>
      </c>
      <c r="BO16" s="11">
        <v>1145007</v>
      </c>
      <c r="BP16" s="80">
        <f>B16+D16+F16+H16+J16+L16+N16+P16+R16+T16+V16+X16+Z16+AB16+AD16+AF16+AH16+AJ16+AL16+AN16+AP16+AR16+AT16+AV16+AX16+AZ16+BB16+BD16+BF16+BH16+BJ16+BL16+BN16</f>
        <v>33972313.850000001</v>
      </c>
      <c r="BQ16" s="80">
        <f>C16+E16+G16+I16+K16+M16+O16+Q16+S16+U16+W16+Y16+AA16+AC16+AE16+AG16+AI16+AK16+AM16+AO16+AQ16+AS16+AU16+AW16+AY16+BA16+BC16+BE16+BG16+BI16+BK16+BM16+BO16</f>
        <v>82951821.539999992</v>
      </c>
    </row>
    <row r="17" spans="1:69" x14ac:dyDescent="0.25">
      <c r="A17" s="3" t="s">
        <v>264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86"/>
      <c r="BQ17" s="86"/>
    </row>
    <row r="18" spans="1:69" x14ac:dyDescent="0.25">
      <c r="A18" s="2" t="s">
        <v>265</v>
      </c>
      <c r="B18" s="10"/>
      <c r="C18" s="10"/>
      <c r="D18" s="10">
        <v>20000</v>
      </c>
      <c r="E18" s="10">
        <v>20000</v>
      </c>
      <c r="F18" s="10"/>
      <c r="G18" s="10"/>
      <c r="H18" s="10">
        <v>-340409</v>
      </c>
      <c r="I18" s="10">
        <v>-340409</v>
      </c>
      <c r="J18" s="10"/>
      <c r="K18" s="10">
        <v>180000</v>
      </c>
      <c r="L18" s="10">
        <v>57719</v>
      </c>
      <c r="M18" s="10">
        <v>78730</v>
      </c>
      <c r="N18" s="10"/>
      <c r="O18" s="10"/>
      <c r="P18" s="10"/>
      <c r="Q18" s="10"/>
      <c r="R18" s="10">
        <v>18235</v>
      </c>
      <c r="S18" s="10">
        <v>143154</v>
      </c>
      <c r="T18" s="10"/>
      <c r="U18" s="10"/>
      <c r="V18" s="10">
        <v>28044</v>
      </c>
      <c r="W18" s="10">
        <v>89749</v>
      </c>
      <c r="X18" s="10"/>
      <c r="Y18" s="10">
        <v>54997</v>
      </c>
      <c r="Z18" s="10">
        <v>-702885</v>
      </c>
      <c r="AA18" s="10">
        <v>-703075</v>
      </c>
      <c r="AB18" s="10">
        <v>200000</v>
      </c>
      <c r="AC18" s="10">
        <v>200000</v>
      </c>
      <c r="AD18" s="10"/>
      <c r="AE18" s="10"/>
      <c r="AF18" s="10"/>
      <c r="AG18" s="10"/>
      <c r="AH18" s="10">
        <v>93548</v>
      </c>
      <c r="AI18" s="10">
        <v>187134</v>
      </c>
      <c r="AJ18" s="10">
        <v>-149195</v>
      </c>
      <c r="AK18" s="10">
        <v>-149195</v>
      </c>
      <c r="AL18" s="10">
        <v>25000</v>
      </c>
      <c r="AM18" s="10">
        <v>25000</v>
      </c>
      <c r="AN18" s="10"/>
      <c r="AO18" s="10"/>
      <c r="AP18" s="10">
        <v>13763</v>
      </c>
      <c r="AQ18" s="10">
        <v>13763</v>
      </c>
      <c r="AR18" s="10"/>
      <c r="AS18" s="10"/>
      <c r="AT18" s="10">
        <v>389748</v>
      </c>
      <c r="AU18" s="10">
        <v>389748</v>
      </c>
      <c r="AV18" s="10"/>
      <c r="AW18" s="10"/>
      <c r="AX18" s="10"/>
      <c r="AY18" s="10"/>
      <c r="AZ18" s="10">
        <v>-29894</v>
      </c>
      <c r="BA18" s="10">
        <v>-5613</v>
      </c>
      <c r="BB18" s="10"/>
      <c r="BC18" s="10"/>
      <c r="BD18" s="10"/>
      <c r="BE18" s="10"/>
      <c r="BF18" s="10"/>
      <c r="BG18" s="10"/>
      <c r="BH18" s="10">
        <v>45278</v>
      </c>
      <c r="BI18" s="10">
        <v>70475</v>
      </c>
      <c r="BJ18" s="10">
        <v>1527</v>
      </c>
      <c r="BK18" s="10">
        <v>1527</v>
      </c>
      <c r="BL18" s="108">
        <v>-18219</v>
      </c>
      <c r="BM18" s="108">
        <v>3262</v>
      </c>
      <c r="BN18" s="10"/>
      <c r="BO18" s="10"/>
      <c r="BP18" s="87">
        <f t="shared" ref="BP18:BP25" si="6">B18+D18+F18+H18+J18+L18+N18+P18+R18+T18+V18+X18+Z18+AB18+AD18+AF18+AH18+AJ18+AL18+AN18+AP18+AR18+AT18+AV18+AX18+AZ18+BB18+BD18+BF18+BH18+BJ18+BL18+BN18</f>
        <v>-347740</v>
      </c>
      <c r="BQ18" s="87">
        <f t="shared" ref="BQ18:BQ25" si="7">C18+E18+G18+I18+K18+M18+O18+Q18+S18+U18+W18+Y18+AA18+AC18+AE18+AG18+AI18+AK18+AM18+AO18+AQ18+AS18+AU18+AW18+AY18+BA18+BC18+BE18+BG18+BI18+BK18+BM18+BO18</f>
        <v>259247</v>
      </c>
    </row>
    <row r="19" spans="1:69" x14ac:dyDescent="0.25">
      <c r="A19" s="2" t="s">
        <v>266</v>
      </c>
      <c r="B19" s="10"/>
      <c r="C19" s="10"/>
      <c r="D19" s="10"/>
      <c r="E19" s="10"/>
      <c r="F19" s="10">
        <v>2000000</v>
      </c>
      <c r="G19" s="10">
        <v>2000000</v>
      </c>
      <c r="H19" s="10">
        <v>-12837</v>
      </c>
      <c r="I19" s="10">
        <v>-8429</v>
      </c>
      <c r="J19" s="10">
        <v>-4837</v>
      </c>
      <c r="K19" s="10">
        <v>48013</v>
      </c>
      <c r="L19" s="10">
        <v>57260</v>
      </c>
      <c r="M19" s="10">
        <v>1037260</v>
      </c>
      <c r="N19" s="10"/>
      <c r="O19" s="10"/>
      <c r="P19" s="10"/>
      <c r="Q19" s="10"/>
      <c r="R19" s="10">
        <v>2612</v>
      </c>
      <c r="S19" s="10">
        <v>2612</v>
      </c>
      <c r="T19" s="10"/>
      <c r="U19" s="10"/>
      <c r="V19" s="10"/>
      <c r="W19" s="10">
        <v>6856</v>
      </c>
      <c r="X19" s="10"/>
      <c r="Y19" s="10"/>
      <c r="Z19" s="10">
        <v>22501</v>
      </c>
      <c r="AA19" s="10">
        <v>77369</v>
      </c>
      <c r="AB19" s="10"/>
      <c r="AC19" s="10"/>
      <c r="AD19" s="10"/>
      <c r="AE19" s="10"/>
      <c r="AF19" s="10"/>
      <c r="AG19" s="10"/>
      <c r="AH19" s="10">
        <v>-221</v>
      </c>
      <c r="AI19" s="10">
        <v>-199</v>
      </c>
      <c r="AJ19" s="10">
        <v>2256</v>
      </c>
      <c r="AK19" s="10">
        <v>1334</v>
      </c>
      <c r="AL19" s="10">
        <v>25137</v>
      </c>
      <c r="AM19" s="10">
        <v>25838</v>
      </c>
      <c r="AN19" s="108">
        <v>1900000</v>
      </c>
      <c r="AO19" s="108">
        <v>1900000</v>
      </c>
      <c r="AP19" s="10"/>
      <c r="AQ19" s="10"/>
      <c r="AR19" s="10"/>
      <c r="AS19" s="10"/>
      <c r="AT19" s="10"/>
      <c r="AU19" s="10"/>
      <c r="AV19" s="10"/>
      <c r="AW19" s="10"/>
      <c r="AX19" s="10">
        <v>5063</v>
      </c>
      <c r="AY19" s="10">
        <v>10127</v>
      </c>
      <c r="AZ19" s="10">
        <v>-2010</v>
      </c>
      <c r="BA19" s="10">
        <v>-2010</v>
      </c>
      <c r="BB19" s="10">
        <v>3</v>
      </c>
      <c r="BC19" s="10">
        <v>16</v>
      </c>
      <c r="BD19" s="10">
        <v>29</v>
      </c>
      <c r="BE19" s="10">
        <v>29</v>
      </c>
      <c r="BF19" s="10">
        <v>3604</v>
      </c>
      <c r="BG19" s="10">
        <v>81003</v>
      </c>
      <c r="BH19" s="10">
        <v>366624</v>
      </c>
      <c r="BI19" s="10">
        <v>366595</v>
      </c>
      <c r="BJ19" s="10">
        <v>9692</v>
      </c>
      <c r="BK19" s="10">
        <v>9692</v>
      </c>
      <c r="BL19" s="108">
        <v>35802</v>
      </c>
      <c r="BM19" s="108">
        <v>104246</v>
      </c>
      <c r="BN19" s="10"/>
      <c r="BO19" s="10"/>
      <c r="BP19" s="87">
        <f t="shared" si="6"/>
        <v>4410678</v>
      </c>
      <c r="BQ19" s="87">
        <f t="shared" si="7"/>
        <v>5660352</v>
      </c>
    </row>
    <row r="20" spans="1:69" x14ac:dyDescent="0.25">
      <c r="A20" s="2" t="s">
        <v>49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>
        <v>160</v>
      </c>
      <c r="AU20" s="10">
        <v>160</v>
      </c>
      <c r="AV20" s="10"/>
      <c r="AW20" s="10"/>
      <c r="AX20" s="10">
        <v>-19425</v>
      </c>
      <c r="AY20" s="10">
        <v>77101</v>
      </c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>
        <v>10312</v>
      </c>
      <c r="BK20" s="10">
        <v>12648</v>
      </c>
      <c r="BL20" s="10"/>
      <c r="BM20" s="10"/>
      <c r="BN20" s="10"/>
      <c r="BO20" s="10"/>
      <c r="BP20" s="87">
        <f t="shared" si="6"/>
        <v>-8953</v>
      </c>
      <c r="BQ20" s="87">
        <f t="shared" si="7"/>
        <v>89909</v>
      </c>
    </row>
    <row r="21" spans="1:69" x14ac:dyDescent="0.25">
      <c r="A21" s="3" t="s">
        <v>267</v>
      </c>
      <c r="B21" s="10">
        <f>B22-B20-B19-B18</f>
        <v>1699</v>
      </c>
      <c r="C21" s="10">
        <f t="shared" ref="C21:AI21" si="8">C22-C20-C19-C18</f>
        <v>2653</v>
      </c>
      <c r="D21" s="10">
        <f t="shared" si="8"/>
        <v>4060</v>
      </c>
      <c r="E21" s="10">
        <f t="shared" si="8"/>
        <v>11015</v>
      </c>
      <c r="F21" s="10">
        <f t="shared" si="8"/>
        <v>26753</v>
      </c>
      <c r="G21" s="10">
        <f t="shared" si="8"/>
        <v>42755</v>
      </c>
      <c r="H21" s="10">
        <f t="shared" si="8"/>
        <v>91447</v>
      </c>
      <c r="I21" s="10">
        <f t="shared" si="8"/>
        <v>234503</v>
      </c>
      <c r="J21" s="10">
        <f t="shared" si="8"/>
        <v>124526</v>
      </c>
      <c r="K21" s="10">
        <f t="shared" si="8"/>
        <v>191034</v>
      </c>
      <c r="L21" s="10">
        <f t="shared" si="8"/>
        <v>290164</v>
      </c>
      <c r="M21" s="10">
        <f t="shared" si="8"/>
        <v>561323</v>
      </c>
      <c r="N21" s="10">
        <f t="shared" si="8"/>
        <v>23541.11</v>
      </c>
      <c r="O21" s="10">
        <f t="shared" si="8"/>
        <v>41389.08</v>
      </c>
      <c r="P21" s="10">
        <f t="shared" si="8"/>
        <v>497</v>
      </c>
      <c r="Q21" s="10">
        <f t="shared" si="8"/>
        <v>1066</v>
      </c>
      <c r="R21" s="10">
        <f t="shared" si="8"/>
        <v>12625</v>
      </c>
      <c r="S21" s="10">
        <f t="shared" si="8"/>
        <v>41732</v>
      </c>
      <c r="T21" s="10">
        <f t="shared" si="8"/>
        <v>3248</v>
      </c>
      <c r="U21" s="10">
        <f t="shared" si="8"/>
        <v>9229</v>
      </c>
      <c r="V21" s="10">
        <f t="shared" si="8"/>
        <v>220665</v>
      </c>
      <c r="W21" s="10">
        <f t="shared" si="8"/>
        <v>386911</v>
      </c>
      <c r="X21" s="10">
        <f t="shared" si="8"/>
        <v>41910</v>
      </c>
      <c r="Y21" s="10">
        <f t="shared" si="8"/>
        <v>82951</v>
      </c>
      <c r="Z21" s="10">
        <f t="shared" si="8"/>
        <v>546685</v>
      </c>
      <c r="AA21" s="10">
        <f t="shared" si="8"/>
        <v>766476</v>
      </c>
      <c r="AB21" s="10">
        <f t="shared" si="8"/>
        <v>13026</v>
      </c>
      <c r="AC21" s="10">
        <f t="shared" si="8"/>
        <v>26053</v>
      </c>
      <c r="AD21" s="10">
        <f t="shared" si="8"/>
        <v>621</v>
      </c>
      <c r="AE21" s="10">
        <f t="shared" si="8"/>
        <v>1118</v>
      </c>
      <c r="AF21" s="10">
        <f t="shared" si="8"/>
        <v>20090</v>
      </c>
      <c r="AG21" s="10">
        <f t="shared" si="8"/>
        <v>36306</v>
      </c>
      <c r="AH21" s="10">
        <f t="shared" si="8"/>
        <v>34443</v>
      </c>
      <c r="AI21" s="10">
        <f t="shared" si="8"/>
        <v>55281</v>
      </c>
      <c r="AJ21" s="10">
        <f t="shared" ref="AJ21:BO21" si="9">AJ22-AJ20-AJ19-AJ18</f>
        <v>29911</v>
      </c>
      <c r="AK21" s="10">
        <f t="shared" si="9"/>
        <v>37512</v>
      </c>
      <c r="AL21" s="10">
        <f t="shared" si="9"/>
        <v>326421</v>
      </c>
      <c r="AM21" s="10">
        <f t="shared" si="9"/>
        <v>634010</v>
      </c>
      <c r="AN21" s="10">
        <f t="shared" si="9"/>
        <v>204250</v>
      </c>
      <c r="AO21" s="10">
        <f t="shared" si="9"/>
        <v>391438</v>
      </c>
      <c r="AP21" s="10">
        <f t="shared" si="9"/>
        <v>0</v>
      </c>
      <c r="AQ21" s="10">
        <f t="shared" si="9"/>
        <v>1857</v>
      </c>
      <c r="AR21" s="10">
        <f t="shared" si="9"/>
        <v>119250</v>
      </c>
      <c r="AS21" s="10">
        <f t="shared" si="9"/>
        <v>236093</v>
      </c>
      <c r="AT21" s="10">
        <f t="shared" si="9"/>
        <v>499419</v>
      </c>
      <c r="AU21" s="10">
        <f t="shared" si="9"/>
        <v>612420</v>
      </c>
      <c r="AV21" s="10">
        <f t="shared" si="9"/>
        <v>22503</v>
      </c>
      <c r="AW21" s="10">
        <f t="shared" si="9"/>
        <v>40861</v>
      </c>
      <c r="AX21" s="10">
        <f t="shared" si="9"/>
        <v>139187</v>
      </c>
      <c r="AY21" s="10">
        <f t="shared" si="9"/>
        <v>178092</v>
      </c>
      <c r="AZ21" s="10">
        <f t="shared" si="9"/>
        <v>-1679</v>
      </c>
      <c r="BA21" s="10">
        <f t="shared" si="9"/>
        <v>36620</v>
      </c>
      <c r="BB21" s="10">
        <f t="shared" si="9"/>
        <v>3643</v>
      </c>
      <c r="BC21" s="10">
        <f t="shared" si="9"/>
        <v>25395</v>
      </c>
      <c r="BD21" s="10">
        <f t="shared" si="9"/>
        <v>71386</v>
      </c>
      <c r="BE21" s="10">
        <f t="shared" si="9"/>
        <v>150839</v>
      </c>
      <c r="BF21" s="10">
        <f t="shared" si="9"/>
        <v>112420</v>
      </c>
      <c r="BG21" s="10">
        <f t="shared" si="9"/>
        <v>236749</v>
      </c>
      <c r="BH21" s="10">
        <f t="shared" si="9"/>
        <v>1047606</v>
      </c>
      <c r="BI21" s="10">
        <f t="shared" si="9"/>
        <v>2145635</v>
      </c>
      <c r="BJ21" s="10">
        <f t="shared" si="9"/>
        <v>381275</v>
      </c>
      <c r="BK21" s="10">
        <f t="shared" si="9"/>
        <v>491160</v>
      </c>
      <c r="BL21" s="10">
        <f t="shared" si="9"/>
        <v>246867</v>
      </c>
      <c r="BM21" s="10">
        <f t="shared" si="9"/>
        <v>436920</v>
      </c>
      <c r="BN21" s="10">
        <f t="shared" si="9"/>
        <v>3733</v>
      </c>
      <c r="BO21" s="10">
        <f t="shared" si="9"/>
        <v>8389</v>
      </c>
      <c r="BP21" s="87">
        <f t="shared" si="6"/>
        <v>4662192.1099999994</v>
      </c>
      <c r="BQ21" s="87">
        <f t="shared" si="7"/>
        <v>8155785.0800000001</v>
      </c>
    </row>
    <row r="22" spans="1:69" s="8" customFormat="1" x14ac:dyDescent="0.25">
      <c r="A22" s="3" t="s">
        <v>30</v>
      </c>
      <c r="B22" s="11">
        <v>1699</v>
      </c>
      <c r="C22" s="11">
        <v>2653</v>
      </c>
      <c r="D22" s="11">
        <v>24060</v>
      </c>
      <c r="E22" s="11">
        <v>31015</v>
      </c>
      <c r="F22" s="11">
        <v>2026753</v>
      </c>
      <c r="G22" s="11">
        <v>2042755</v>
      </c>
      <c r="H22" s="11">
        <v>-261799</v>
      </c>
      <c r="I22" s="11">
        <v>-114335</v>
      </c>
      <c r="J22" s="11">
        <v>119689</v>
      </c>
      <c r="K22" s="11">
        <v>419047</v>
      </c>
      <c r="L22" s="11">
        <v>405143</v>
      </c>
      <c r="M22" s="11">
        <v>1677313</v>
      </c>
      <c r="N22" s="11">
        <v>23541.11</v>
      </c>
      <c r="O22" s="11">
        <v>41389.08</v>
      </c>
      <c r="P22" s="11">
        <v>497</v>
      </c>
      <c r="Q22" s="11">
        <v>1066</v>
      </c>
      <c r="R22" s="11">
        <v>33472</v>
      </c>
      <c r="S22" s="11">
        <v>187498</v>
      </c>
      <c r="T22" s="11">
        <v>3248</v>
      </c>
      <c r="U22" s="11">
        <v>9229</v>
      </c>
      <c r="V22" s="11">
        <v>248709</v>
      </c>
      <c r="W22" s="11">
        <v>483516</v>
      </c>
      <c r="X22" s="11">
        <v>41910</v>
      </c>
      <c r="Y22" s="11">
        <v>137948</v>
      </c>
      <c r="Z22" s="11">
        <v>-133699</v>
      </c>
      <c r="AA22" s="11">
        <v>140770</v>
      </c>
      <c r="AB22" s="11">
        <v>213026</v>
      </c>
      <c r="AC22" s="11">
        <v>226053</v>
      </c>
      <c r="AD22" s="11">
        <v>621</v>
      </c>
      <c r="AE22" s="11">
        <v>1118</v>
      </c>
      <c r="AF22" s="11">
        <v>20090</v>
      </c>
      <c r="AG22" s="11">
        <v>36306</v>
      </c>
      <c r="AH22" s="11">
        <v>127770</v>
      </c>
      <c r="AI22" s="11">
        <v>242216</v>
      </c>
      <c r="AJ22" s="11">
        <v>-117028</v>
      </c>
      <c r="AK22" s="11">
        <v>-110349</v>
      </c>
      <c r="AL22" s="11">
        <v>376558</v>
      </c>
      <c r="AM22" s="11">
        <v>684848</v>
      </c>
      <c r="AN22" s="11">
        <v>2104250</v>
      </c>
      <c r="AO22" s="11">
        <v>2291438</v>
      </c>
      <c r="AP22" s="11">
        <v>13763</v>
      </c>
      <c r="AQ22" s="11">
        <v>15620</v>
      </c>
      <c r="AR22" s="11">
        <v>119250</v>
      </c>
      <c r="AS22" s="11">
        <v>236093</v>
      </c>
      <c r="AT22" s="11">
        <v>889327</v>
      </c>
      <c r="AU22" s="11">
        <v>1002328</v>
      </c>
      <c r="AV22" s="11">
        <v>22503</v>
      </c>
      <c r="AW22" s="11">
        <v>40861</v>
      </c>
      <c r="AX22" s="11">
        <v>124825</v>
      </c>
      <c r="AY22" s="11">
        <v>265320</v>
      </c>
      <c r="AZ22" s="11">
        <v>-33583</v>
      </c>
      <c r="BA22" s="11">
        <v>28997</v>
      </c>
      <c r="BB22" s="11">
        <v>3646</v>
      </c>
      <c r="BC22" s="11">
        <v>25411</v>
      </c>
      <c r="BD22" s="11">
        <v>71415</v>
      </c>
      <c r="BE22" s="11">
        <v>150868</v>
      </c>
      <c r="BF22" s="11">
        <v>116024</v>
      </c>
      <c r="BG22" s="11">
        <v>317752</v>
      </c>
      <c r="BH22" s="11">
        <v>1459508</v>
      </c>
      <c r="BI22" s="11">
        <v>2582705</v>
      </c>
      <c r="BJ22" s="11">
        <v>402806</v>
      </c>
      <c r="BK22" s="11">
        <v>515027</v>
      </c>
      <c r="BL22" s="11">
        <v>264450</v>
      </c>
      <c r="BM22" s="11">
        <v>544428</v>
      </c>
      <c r="BN22" s="11">
        <v>3733</v>
      </c>
      <c r="BO22" s="11">
        <v>8389</v>
      </c>
      <c r="BP22" s="80">
        <f t="shared" si="6"/>
        <v>8716177.1099999994</v>
      </c>
      <c r="BQ22" s="80">
        <f t="shared" si="7"/>
        <v>14165293.08</v>
      </c>
    </row>
    <row r="23" spans="1:69" s="8" customFormat="1" x14ac:dyDescent="0.25">
      <c r="A23" s="3" t="s">
        <v>268</v>
      </c>
      <c r="B23" s="11">
        <f>B16-B22</f>
        <v>-191631</v>
      </c>
      <c r="C23" s="11">
        <f t="shared" ref="C23:AJ23" si="10">C16-C22</f>
        <v>-321618</v>
      </c>
      <c r="D23" s="11">
        <f t="shared" si="10"/>
        <v>-658355</v>
      </c>
      <c r="E23" s="11">
        <f t="shared" si="10"/>
        <v>-1238298</v>
      </c>
      <c r="F23" s="11">
        <f t="shared" si="10"/>
        <v>-37217</v>
      </c>
      <c r="G23" s="11">
        <f t="shared" si="10"/>
        <v>1070178</v>
      </c>
      <c r="H23" s="11">
        <f t="shared" si="10"/>
        <v>4434696</v>
      </c>
      <c r="I23" s="11">
        <f t="shared" si="10"/>
        <v>9700878</v>
      </c>
      <c r="J23" s="11">
        <f t="shared" si="10"/>
        <v>561996</v>
      </c>
      <c r="K23" s="11">
        <f t="shared" si="10"/>
        <v>948595</v>
      </c>
      <c r="L23" s="11">
        <f t="shared" si="10"/>
        <v>1245874</v>
      </c>
      <c r="M23" s="11">
        <f t="shared" si="10"/>
        <v>2667418</v>
      </c>
      <c r="N23" s="11">
        <f t="shared" si="10"/>
        <v>112619.74</v>
      </c>
      <c r="O23" s="11">
        <f t="shared" si="10"/>
        <v>558397.46000000008</v>
      </c>
      <c r="P23" s="11">
        <f t="shared" si="10"/>
        <v>-214665</v>
      </c>
      <c r="Q23" s="11">
        <f t="shared" si="10"/>
        <v>-451944</v>
      </c>
      <c r="R23" s="11">
        <f t="shared" si="10"/>
        <v>363833</v>
      </c>
      <c r="S23" s="11">
        <f t="shared" si="10"/>
        <v>881814</v>
      </c>
      <c r="T23" s="11">
        <f t="shared" si="10"/>
        <v>72445</v>
      </c>
      <c r="U23" s="11">
        <f t="shared" si="10"/>
        <v>465173</v>
      </c>
      <c r="V23" s="11">
        <f t="shared" si="10"/>
        <v>1919498</v>
      </c>
      <c r="W23" s="11">
        <f t="shared" si="10"/>
        <v>3777300</v>
      </c>
      <c r="X23" s="11">
        <f t="shared" si="10"/>
        <v>219281</v>
      </c>
      <c r="Y23" s="11">
        <f t="shared" si="10"/>
        <v>-772336</v>
      </c>
      <c r="Z23" s="11">
        <f t="shared" si="10"/>
        <v>5545624</v>
      </c>
      <c r="AA23" s="11">
        <f t="shared" si="10"/>
        <v>10856064</v>
      </c>
      <c r="AB23" s="11">
        <f t="shared" si="10"/>
        <v>1591872</v>
      </c>
      <c r="AC23" s="11">
        <f t="shared" si="10"/>
        <v>3554445</v>
      </c>
      <c r="AD23" s="11">
        <f t="shared" si="10"/>
        <v>70619</v>
      </c>
      <c r="AE23" s="11">
        <f t="shared" si="10"/>
        <v>197464</v>
      </c>
      <c r="AF23" s="11">
        <f t="shared" si="10"/>
        <v>156571</v>
      </c>
      <c r="AG23" s="11">
        <f t="shared" si="10"/>
        <v>1121265</v>
      </c>
      <c r="AH23" s="11">
        <f t="shared" si="10"/>
        <v>138270</v>
      </c>
      <c r="AI23" s="11">
        <f t="shared" si="10"/>
        <v>278247</v>
      </c>
      <c r="AJ23" s="11">
        <f t="shared" si="10"/>
        <v>-593852</v>
      </c>
      <c r="AK23" s="11">
        <f t="shared" ref="AK23:BO23" si="11">AK16-AK22</f>
        <v>-439850</v>
      </c>
      <c r="AL23" s="11">
        <f t="shared" si="11"/>
        <v>-75335</v>
      </c>
      <c r="AM23" s="11">
        <f t="shared" si="11"/>
        <v>26539</v>
      </c>
      <c r="AN23" s="11">
        <f t="shared" si="11"/>
        <v>1552242</v>
      </c>
      <c r="AO23" s="11">
        <f t="shared" si="11"/>
        <v>4842662</v>
      </c>
      <c r="AP23" s="11">
        <f t="shared" si="11"/>
        <v>-995853</v>
      </c>
      <c r="AQ23" s="11">
        <f t="shared" si="11"/>
        <v>-1067306</v>
      </c>
      <c r="AR23" s="11">
        <f t="shared" si="11"/>
        <v>-167063</v>
      </c>
      <c r="AS23" s="11">
        <f t="shared" si="11"/>
        <v>-304770</v>
      </c>
      <c r="AT23" s="11">
        <f t="shared" si="11"/>
        <v>1042614</v>
      </c>
      <c r="AU23" s="11">
        <f t="shared" si="11"/>
        <v>2195537</v>
      </c>
      <c r="AV23" s="11">
        <f t="shared" si="11"/>
        <v>77902</v>
      </c>
      <c r="AW23" s="11">
        <f t="shared" si="11"/>
        <v>280880</v>
      </c>
      <c r="AX23" s="11">
        <f t="shared" si="11"/>
        <v>952719</v>
      </c>
      <c r="AY23" s="11">
        <f t="shared" si="11"/>
        <v>2302415</v>
      </c>
      <c r="AZ23" s="11">
        <f t="shared" si="11"/>
        <v>2212085</v>
      </c>
      <c r="BA23" s="11">
        <f t="shared" si="11"/>
        <v>4020683</v>
      </c>
      <c r="BB23" s="11">
        <f t="shared" si="11"/>
        <v>1463815</v>
      </c>
      <c r="BC23" s="11">
        <f t="shared" si="11"/>
        <v>4313502</v>
      </c>
      <c r="BD23" s="11">
        <f t="shared" si="11"/>
        <v>-393870</v>
      </c>
      <c r="BE23" s="11">
        <f t="shared" si="11"/>
        <v>1775942</v>
      </c>
      <c r="BF23" s="11">
        <f t="shared" si="11"/>
        <v>1444441</v>
      </c>
      <c r="BG23" s="11">
        <f t="shared" si="11"/>
        <v>4162837</v>
      </c>
      <c r="BH23" s="11">
        <f t="shared" si="11"/>
        <v>6967068</v>
      </c>
      <c r="BI23" s="11">
        <f t="shared" si="11"/>
        <v>10399753</v>
      </c>
      <c r="BJ23" s="11">
        <f t="shared" si="11"/>
        <v>-319219</v>
      </c>
      <c r="BK23" s="11">
        <f t="shared" si="11"/>
        <v>154464</v>
      </c>
      <c r="BL23" s="11">
        <f t="shared" si="11"/>
        <v>-3810713</v>
      </c>
      <c r="BM23" s="11">
        <f t="shared" si="11"/>
        <v>1693580</v>
      </c>
      <c r="BN23" s="11">
        <f t="shared" si="11"/>
        <v>567825</v>
      </c>
      <c r="BO23" s="11">
        <f t="shared" si="11"/>
        <v>1136618</v>
      </c>
      <c r="BP23" s="80">
        <f t="shared" si="6"/>
        <v>25256136.740000002</v>
      </c>
      <c r="BQ23" s="80">
        <f t="shared" si="7"/>
        <v>68786528.460000008</v>
      </c>
    </row>
    <row r="24" spans="1:69" x14ac:dyDescent="0.25">
      <c r="A24" s="2" t="s">
        <v>270</v>
      </c>
      <c r="B24" s="10"/>
      <c r="C24" s="10"/>
      <c r="D24" s="10"/>
      <c r="E24" s="10"/>
      <c r="F24" s="10">
        <v>586546</v>
      </c>
      <c r="G24" s="10">
        <v>865277</v>
      </c>
      <c r="H24" s="10">
        <v>1111255</v>
      </c>
      <c r="I24" s="10">
        <v>2428925</v>
      </c>
      <c r="J24" s="10"/>
      <c r="K24" s="10"/>
      <c r="L24" s="10">
        <v>306119</v>
      </c>
      <c r="M24" s="10">
        <v>656709</v>
      </c>
      <c r="N24" s="10"/>
      <c r="O24" s="10"/>
      <c r="P24" s="10"/>
      <c r="Q24" s="10"/>
      <c r="R24" s="10">
        <f>78769+13852</f>
        <v>92621</v>
      </c>
      <c r="S24" s="10">
        <f>241268-12539</f>
        <v>228729</v>
      </c>
      <c r="T24" s="10"/>
      <c r="U24" s="10"/>
      <c r="V24" s="10">
        <f>473164+17169</f>
        <v>490333</v>
      </c>
      <c r="W24" s="10">
        <f>935499+28616</f>
        <v>964115</v>
      </c>
      <c r="X24" s="10"/>
      <c r="Y24" s="10"/>
      <c r="Z24" s="10">
        <f>1891704-503429</f>
        <v>1388275</v>
      </c>
      <c r="AA24" s="10">
        <f>3801259-1083585</f>
        <v>2717674</v>
      </c>
      <c r="AB24" s="10">
        <f>466100-50200</f>
        <v>415900</v>
      </c>
      <c r="AC24" s="10">
        <f>895000-63100</f>
        <v>831900</v>
      </c>
      <c r="AD24" s="10"/>
      <c r="AE24" s="10"/>
      <c r="AF24" s="10"/>
      <c r="AG24" s="10"/>
      <c r="AH24" s="10">
        <v>35701</v>
      </c>
      <c r="AI24" s="10">
        <v>70930</v>
      </c>
      <c r="AJ24" s="10"/>
      <c r="AK24" s="10"/>
      <c r="AL24" s="10"/>
      <c r="AM24" s="10"/>
      <c r="AN24" s="108">
        <v>3254</v>
      </c>
      <c r="AO24" s="108">
        <v>3254</v>
      </c>
      <c r="AP24" s="10"/>
      <c r="AQ24" s="10"/>
      <c r="AR24" s="10">
        <v>-736</v>
      </c>
      <c r="AS24" s="10">
        <v>-1771</v>
      </c>
      <c r="AT24" s="10">
        <f>209521+211371</f>
        <v>420892</v>
      </c>
      <c r="AU24" s="10">
        <f>432610+436264</f>
        <v>868874</v>
      </c>
      <c r="AV24" s="10"/>
      <c r="AW24" s="10"/>
      <c r="AX24" s="10">
        <v>241684</v>
      </c>
      <c r="AY24" s="10">
        <v>575758</v>
      </c>
      <c r="AZ24" s="10">
        <f>567811-12125</f>
        <v>555686</v>
      </c>
      <c r="BA24" s="10">
        <f>1042392-24283</f>
        <v>1018109</v>
      </c>
      <c r="BB24" s="10">
        <v>333529</v>
      </c>
      <c r="BC24" s="10">
        <v>1019266</v>
      </c>
      <c r="BD24" s="10">
        <f>-53120+41176-61255</f>
        <v>-73199</v>
      </c>
      <c r="BE24" s="10">
        <f>493022+41176-61255</f>
        <v>472943</v>
      </c>
      <c r="BF24" s="10">
        <f>841394-473631</f>
        <v>367763</v>
      </c>
      <c r="BG24" s="10">
        <f>1870486-837591</f>
        <v>1032895</v>
      </c>
      <c r="BH24" s="10">
        <f>1573827-162691</f>
        <v>1411136</v>
      </c>
      <c r="BI24" s="10">
        <f>2307994-328845</f>
        <v>1979149</v>
      </c>
      <c r="BJ24" s="10"/>
      <c r="BK24" s="10"/>
      <c r="BL24" s="10"/>
      <c r="BM24" s="10"/>
      <c r="BN24" s="10">
        <f>222700+19159</f>
        <v>241859</v>
      </c>
      <c r="BO24" s="10">
        <f>347059+1644</f>
        <v>348703</v>
      </c>
      <c r="BP24" s="87">
        <f t="shared" si="6"/>
        <v>7928618</v>
      </c>
      <c r="BQ24" s="87">
        <f t="shared" si="7"/>
        <v>16081439</v>
      </c>
    </row>
    <row r="25" spans="1:69" s="8" customFormat="1" x14ac:dyDescent="0.25">
      <c r="A25" s="3" t="s">
        <v>269</v>
      </c>
      <c r="B25" s="11">
        <f>B23-B24</f>
        <v>-191631</v>
      </c>
      <c r="C25" s="11">
        <f t="shared" ref="C25:AJ25" si="12">C23-C24</f>
        <v>-321618</v>
      </c>
      <c r="D25" s="11">
        <f t="shared" si="12"/>
        <v>-658355</v>
      </c>
      <c r="E25" s="11">
        <f t="shared" si="12"/>
        <v>-1238298</v>
      </c>
      <c r="F25" s="11">
        <f t="shared" si="12"/>
        <v>-623763</v>
      </c>
      <c r="G25" s="11">
        <f t="shared" si="12"/>
        <v>204901</v>
      </c>
      <c r="H25" s="11">
        <f t="shared" si="12"/>
        <v>3323441</v>
      </c>
      <c r="I25" s="11">
        <f t="shared" si="12"/>
        <v>7271953</v>
      </c>
      <c r="J25" s="11">
        <f t="shared" si="12"/>
        <v>561996</v>
      </c>
      <c r="K25" s="11">
        <f t="shared" si="12"/>
        <v>948595</v>
      </c>
      <c r="L25" s="11">
        <f t="shared" si="12"/>
        <v>939755</v>
      </c>
      <c r="M25" s="11">
        <f t="shared" si="12"/>
        <v>2010709</v>
      </c>
      <c r="N25" s="11">
        <f t="shared" si="12"/>
        <v>112619.74</v>
      </c>
      <c r="O25" s="11">
        <f t="shared" si="12"/>
        <v>558397.46000000008</v>
      </c>
      <c r="P25" s="11">
        <f t="shared" si="12"/>
        <v>-214665</v>
      </c>
      <c r="Q25" s="11">
        <f t="shared" si="12"/>
        <v>-451944</v>
      </c>
      <c r="R25" s="11">
        <f t="shared" si="12"/>
        <v>271212</v>
      </c>
      <c r="S25" s="11">
        <f t="shared" si="12"/>
        <v>653085</v>
      </c>
      <c r="T25" s="11">
        <f t="shared" si="12"/>
        <v>72445</v>
      </c>
      <c r="U25" s="11">
        <f t="shared" si="12"/>
        <v>465173</v>
      </c>
      <c r="V25" s="11">
        <f t="shared" si="12"/>
        <v>1429165</v>
      </c>
      <c r="W25" s="11">
        <f t="shared" si="12"/>
        <v>2813185</v>
      </c>
      <c r="X25" s="11">
        <f t="shared" si="12"/>
        <v>219281</v>
      </c>
      <c r="Y25" s="11">
        <f t="shared" si="12"/>
        <v>-772336</v>
      </c>
      <c r="Z25" s="11">
        <f t="shared" si="12"/>
        <v>4157349</v>
      </c>
      <c r="AA25" s="11">
        <f t="shared" si="12"/>
        <v>8138390</v>
      </c>
      <c r="AB25" s="11">
        <f t="shared" si="12"/>
        <v>1175972</v>
      </c>
      <c r="AC25" s="11">
        <f t="shared" si="12"/>
        <v>2722545</v>
      </c>
      <c r="AD25" s="11">
        <f t="shared" si="12"/>
        <v>70619</v>
      </c>
      <c r="AE25" s="11">
        <f t="shared" si="12"/>
        <v>197464</v>
      </c>
      <c r="AF25" s="11">
        <f t="shared" si="12"/>
        <v>156571</v>
      </c>
      <c r="AG25" s="11">
        <f t="shared" si="12"/>
        <v>1121265</v>
      </c>
      <c r="AH25" s="11">
        <f t="shared" si="12"/>
        <v>102569</v>
      </c>
      <c r="AI25" s="11">
        <f t="shared" si="12"/>
        <v>207317</v>
      </c>
      <c r="AJ25" s="11">
        <f t="shared" si="12"/>
        <v>-593852</v>
      </c>
      <c r="AK25" s="11">
        <f t="shared" ref="AK25:BO25" si="13">AK23-AK24</f>
        <v>-439850</v>
      </c>
      <c r="AL25" s="11">
        <f t="shared" si="13"/>
        <v>-75335</v>
      </c>
      <c r="AM25" s="11">
        <f t="shared" si="13"/>
        <v>26539</v>
      </c>
      <c r="AN25" s="11">
        <f t="shared" si="13"/>
        <v>1548988</v>
      </c>
      <c r="AO25" s="11">
        <f t="shared" si="13"/>
        <v>4839408</v>
      </c>
      <c r="AP25" s="11">
        <f t="shared" si="13"/>
        <v>-995853</v>
      </c>
      <c r="AQ25" s="11">
        <f t="shared" si="13"/>
        <v>-1067306</v>
      </c>
      <c r="AR25" s="11">
        <f t="shared" si="13"/>
        <v>-166327</v>
      </c>
      <c r="AS25" s="11">
        <f t="shared" si="13"/>
        <v>-302999</v>
      </c>
      <c r="AT25" s="11">
        <f t="shared" si="13"/>
        <v>621722</v>
      </c>
      <c r="AU25" s="11">
        <f t="shared" si="13"/>
        <v>1326663</v>
      </c>
      <c r="AV25" s="11">
        <f t="shared" si="13"/>
        <v>77902</v>
      </c>
      <c r="AW25" s="11">
        <f t="shared" si="13"/>
        <v>280880</v>
      </c>
      <c r="AX25" s="11">
        <f t="shared" si="13"/>
        <v>711035</v>
      </c>
      <c r="AY25" s="11">
        <f t="shared" si="13"/>
        <v>1726657</v>
      </c>
      <c r="AZ25" s="11">
        <f t="shared" si="13"/>
        <v>1656399</v>
      </c>
      <c r="BA25" s="11">
        <f t="shared" si="13"/>
        <v>3002574</v>
      </c>
      <c r="BB25" s="11">
        <f t="shared" si="13"/>
        <v>1130286</v>
      </c>
      <c r="BC25" s="11">
        <f t="shared" si="13"/>
        <v>3294236</v>
      </c>
      <c r="BD25" s="11">
        <f t="shared" si="13"/>
        <v>-320671</v>
      </c>
      <c r="BE25" s="11">
        <f t="shared" si="13"/>
        <v>1302999</v>
      </c>
      <c r="BF25" s="11">
        <f t="shared" si="13"/>
        <v>1076678</v>
      </c>
      <c r="BG25" s="11">
        <f t="shared" si="13"/>
        <v>3129942</v>
      </c>
      <c r="BH25" s="11">
        <f t="shared" si="13"/>
        <v>5555932</v>
      </c>
      <c r="BI25" s="11">
        <f t="shared" si="13"/>
        <v>8420604</v>
      </c>
      <c r="BJ25" s="11">
        <f t="shared" si="13"/>
        <v>-319219</v>
      </c>
      <c r="BK25" s="11">
        <f t="shared" si="13"/>
        <v>154464</v>
      </c>
      <c r="BL25" s="11">
        <f t="shared" si="13"/>
        <v>-3810713</v>
      </c>
      <c r="BM25" s="11">
        <f t="shared" si="13"/>
        <v>1693580</v>
      </c>
      <c r="BN25" s="11">
        <f t="shared" si="13"/>
        <v>325966</v>
      </c>
      <c r="BO25" s="11">
        <f t="shared" si="13"/>
        <v>787915</v>
      </c>
      <c r="BP25" s="80">
        <f t="shared" si="6"/>
        <v>17327518.740000002</v>
      </c>
      <c r="BQ25" s="80">
        <f t="shared" si="7"/>
        <v>52705089.460000001</v>
      </c>
    </row>
  </sheetData>
  <mergeCells count="34"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BD3:BE3"/>
    <mergeCell ref="BF3:BG3"/>
    <mergeCell ref="BP3:BQ3"/>
    <mergeCell ref="BJ3:BK3"/>
    <mergeCell ref="BL3:BM3"/>
    <mergeCell ref="BN3:BO3"/>
    <mergeCell ref="BH3:BI3"/>
    <mergeCell ref="AX3:AY3"/>
    <mergeCell ref="AZ3:BA3"/>
    <mergeCell ref="BB3:BC3"/>
    <mergeCell ref="AV3:AW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" customWidth="1"/>
    <col min="2" max="34" width="16" style="7" customWidth="1"/>
    <col min="35" max="35" width="16" style="8" customWidth="1"/>
    <col min="36" max="16384" width="9.140625" style="7"/>
  </cols>
  <sheetData>
    <row r="1" spans="1:35" ht="18.75" x14ac:dyDescent="0.3">
      <c r="A1" s="17" t="s">
        <v>298</v>
      </c>
      <c r="D1" s="52"/>
    </row>
    <row r="2" spans="1:35" x14ac:dyDescent="0.25">
      <c r="A2" s="18" t="s">
        <v>34</v>
      </c>
    </row>
    <row r="3" spans="1:35" x14ac:dyDescent="0.25">
      <c r="A3" s="1" t="s">
        <v>0</v>
      </c>
      <c r="B3" s="38" t="s">
        <v>1</v>
      </c>
      <c r="C3" s="38" t="s">
        <v>285</v>
      </c>
      <c r="D3" s="38" t="s">
        <v>2</v>
      </c>
      <c r="E3" s="38" t="s">
        <v>3</v>
      </c>
      <c r="F3" s="38" t="s">
        <v>4</v>
      </c>
      <c r="G3" s="38" t="s">
        <v>286</v>
      </c>
      <c r="H3" s="94" t="s">
        <v>6</v>
      </c>
      <c r="I3" s="38" t="s">
        <v>5</v>
      </c>
      <c r="J3" s="38" t="s">
        <v>7</v>
      </c>
      <c r="K3" s="38" t="s">
        <v>287</v>
      </c>
      <c r="L3" s="94" t="s">
        <v>8</v>
      </c>
      <c r="M3" s="94" t="s">
        <v>288</v>
      </c>
      <c r="N3" s="38" t="s">
        <v>9</v>
      </c>
      <c r="O3" s="38" t="s">
        <v>10</v>
      </c>
      <c r="P3" s="38" t="s">
        <v>289</v>
      </c>
      <c r="Q3" s="38" t="s">
        <v>11</v>
      </c>
      <c r="R3" s="38" t="s">
        <v>12</v>
      </c>
      <c r="S3" s="94" t="s">
        <v>290</v>
      </c>
      <c r="T3" s="38" t="s">
        <v>299</v>
      </c>
      <c r="U3" s="38" t="s">
        <v>13</v>
      </c>
      <c r="V3" s="94" t="s">
        <v>291</v>
      </c>
      <c r="W3" s="38" t="s">
        <v>292</v>
      </c>
      <c r="X3" s="38" t="s">
        <v>307</v>
      </c>
      <c r="Y3" s="38" t="s">
        <v>293</v>
      </c>
      <c r="Z3" s="38" t="s">
        <v>14</v>
      </c>
      <c r="AA3" s="38" t="s">
        <v>15</v>
      </c>
      <c r="AB3" s="38" t="s">
        <v>16</v>
      </c>
      <c r="AC3" s="38" t="s">
        <v>17</v>
      </c>
      <c r="AD3" s="38" t="s">
        <v>18</v>
      </c>
      <c r="AE3" s="93" t="s">
        <v>294</v>
      </c>
      <c r="AF3" s="93" t="s">
        <v>295</v>
      </c>
      <c r="AG3" s="39" t="s">
        <v>19</v>
      </c>
      <c r="AH3" s="38" t="s">
        <v>20</v>
      </c>
      <c r="AI3" s="83" t="s">
        <v>21</v>
      </c>
    </row>
    <row r="4" spans="1:35" x14ac:dyDescent="0.25">
      <c r="A4" s="3" t="s">
        <v>232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80"/>
    </row>
    <row r="5" spans="1:35" x14ac:dyDescent="0.25">
      <c r="A5" s="26" t="s">
        <v>233</v>
      </c>
      <c r="B5" s="10">
        <v>5460000</v>
      </c>
      <c r="C5" s="10">
        <v>3469327</v>
      </c>
      <c r="D5" s="10">
        <v>2000000</v>
      </c>
      <c r="E5" s="10">
        <v>1102273</v>
      </c>
      <c r="F5" s="10">
        <v>20559812</v>
      </c>
      <c r="G5" s="10">
        <v>2988057</v>
      </c>
      <c r="H5" s="10">
        <v>28950000</v>
      </c>
      <c r="I5" s="10">
        <v>3330000</v>
      </c>
      <c r="J5" s="10">
        <v>9048037</v>
      </c>
      <c r="K5" s="10">
        <v>8168431</v>
      </c>
      <c r="L5" s="10">
        <v>6061877</v>
      </c>
      <c r="M5" s="10">
        <v>4057023</v>
      </c>
      <c r="N5" s="10">
        <v>4544965</v>
      </c>
      <c r="O5" s="10">
        <v>2742183</v>
      </c>
      <c r="P5" s="10">
        <v>3050000</v>
      </c>
      <c r="Q5" s="10">
        <v>10862252</v>
      </c>
      <c r="R5" s="10">
        <v>1547073</v>
      </c>
      <c r="S5" s="10">
        <v>9419022</v>
      </c>
      <c r="T5" s="10">
        <v>11704065</v>
      </c>
      <c r="U5" s="10">
        <v>41750000</v>
      </c>
      <c r="V5" s="10">
        <v>4957900</v>
      </c>
      <c r="W5" s="10">
        <v>2454758</v>
      </c>
      <c r="X5" s="10">
        <v>2515499</v>
      </c>
      <c r="Y5" s="10">
        <v>8278204</v>
      </c>
      <c r="Z5" s="10">
        <v>4490000</v>
      </c>
      <c r="AA5" s="10">
        <v>2155000</v>
      </c>
      <c r="AB5" s="10">
        <v>2591628</v>
      </c>
      <c r="AC5" s="10">
        <v>4906380</v>
      </c>
      <c r="AD5" s="10">
        <v>9944560</v>
      </c>
      <c r="AE5" s="10">
        <v>8240000</v>
      </c>
      <c r="AF5" s="10">
        <v>9700000</v>
      </c>
      <c r="AG5" s="10">
        <v>12800000</v>
      </c>
      <c r="AH5" s="10">
        <v>3681818</v>
      </c>
      <c r="AI5" s="81">
        <f t="shared" ref="AI5:AI10" si="0">SUM(B5:AH5)</f>
        <v>257530144</v>
      </c>
    </row>
    <row r="6" spans="1:35" x14ac:dyDescent="0.25">
      <c r="A6" s="26" t="s">
        <v>234</v>
      </c>
      <c r="B6" s="10"/>
      <c r="C6" s="10">
        <v>9640673</v>
      </c>
      <c r="D6" s="10">
        <v>39642884</v>
      </c>
      <c r="E6" s="10">
        <v>65686221</v>
      </c>
      <c r="F6" s="10">
        <v>1719685</v>
      </c>
      <c r="G6" s="10">
        <v>15051588</v>
      </c>
      <c r="H6" s="10">
        <v>27554877.420000002</v>
      </c>
      <c r="I6" s="10"/>
      <c r="J6" s="10">
        <v>1437718</v>
      </c>
      <c r="K6" s="10">
        <v>8403721</v>
      </c>
      <c r="L6" s="10">
        <v>21150824</v>
      </c>
      <c r="M6" s="10">
        <v>5558710</v>
      </c>
      <c r="N6" s="10">
        <v>64954510</v>
      </c>
      <c r="O6" s="10">
        <v>24562905</v>
      </c>
      <c r="P6" s="10"/>
      <c r="Q6" s="10">
        <v>7481249</v>
      </c>
      <c r="R6" s="10">
        <v>2796224</v>
      </c>
      <c r="S6" s="10">
        <v>3298637</v>
      </c>
      <c r="T6" s="10">
        <v>75935</v>
      </c>
      <c r="U6" s="10">
        <v>142641</v>
      </c>
      <c r="V6" s="10"/>
      <c r="W6" s="10">
        <v>615613</v>
      </c>
      <c r="X6" s="10">
        <v>17272903</v>
      </c>
      <c r="Y6" s="10">
        <v>2854692</v>
      </c>
      <c r="Z6" s="10">
        <v>8939408</v>
      </c>
      <c r="AA6" s="10">
        <v>22988457</v>
      </c>
      <c r="AB6" s="10">
        <v>17163831</v>
      </c>
      <c r="AC6" s="10">
        <v>15434603</v>
      </c>
      <c r="AD6" s="10">
        <v>18551349</v>
      </c>
      <c r="AE6" s="10">
        <v>174628028</v>
      </c>
      <c r="AF6" s="10">
        <v>11543662</v>
      </c>
      <c r="AG6" s="10">
        <v>14792685</v>
      </c>
      <c r="AH6" s="10">
        <v>7161988</v>
      </c>
      <c r="AI6" s="81">
        <f t="shared" si="0"/>
        <v>611106221.42000008</v>
      </c>
    </row>
    <row r="7" spans="1:35" x14ac:dyDescent="0.25">
      <c r="A7" s="26" t="s">
        <v>235</v>
      </c>
      <c r="B7" s="10">
        <v>767</v>
      </c>
      <c r="C7" s="10">
        <v>3028</v>
      </c>
      <c r="D7" s="10">
        <v>-134970</v>
      </c>
      <c r="E7" s="10">
        <v>718168</v>
      </c>
      <c r="F7" s="10">
        <f>36608+7155</f>
        <v>43763</v>
      </c>
      <c r="G7" s="10">
        <f>-765-17341</f>
        <v>-18106</v>
      </c>
      <c r="H7" s="10">
        <v>2336336.5299999998</v>
      </c>
      <c r="I7" s="10">
        <v>24614</v>
      </c>
      <c r="J7" s="10">
        <v>-81357</v>
      </c>
      <c r="K7" s="10">
        <v>112761</v>
      </c>
      <c r="L7" s="10">
        <f>-250162-55266</f>
        <v>-305428</v>
      </c>
      <c r="M7" s="10">
        <v>717</v>
      </c>
      <c r="N7" s="10">
        <v>2191829</v>
      </c>
      <c r="O7" s="10">
        <f>-4265-15615</f>
        <v>-19880</v>
      </c>
      <c r="P7" s="10">
        <v>11</v>
      </c>
      <c r="Q7" s="10">
        <v>1173</v>
      </c>
      <c r="R7" s="10">
        <v>384</v>
      </c>
      <c r="S7" s="10">
        <v>563</v>
      </c>
      <c r="T7" s="10">
        <f>384+83</f>
        <v>467</v>
      </c>
      <c r="U7" s="10">
        <f>-14425-2723697</f>
        <v>-2738122</v>
      </c>
      <c r="V7" s="10">
        <f>499+186</f>
        <v>685</v>
      </c>
      <c r="W7" s="10">
        <v>1161</v>
      </c>
      <c r="X7" s="10">
        <f>-86283-383673</f>
        <v>-469956</v>
      </c>
      <c r="Y7" s="10">
        <v>-23648</v>
      </c>
      <c r="Z7" s="10">
        <v>-40311</v>
      </c>
      <c r="AA7" s="10">
        <v>-156446</v>
      </c>
      <c r="AB7" s="10">
        <v>-85899</v>
      </c>
      <c r="AC7" s="10">
        <v>79197</v>
      </c>
      <c r="AD7" s="10">
        <v>44591</v>
      </c>
      <c r="AE7" s="10">
        <v>136703124</v>
      </c>
      <c r="AF7" s="10">
        <v>30127330</v>
      </c>
      <c r="AG7" s="10">
        <f>473887+4985639</f>
        <v>5459526</v>
      </c>
      <c r="AH7" s="10">
        <v>-31339</v>
      </c>
      <c r="AI7" s="81">
        <f t="shared" si="0"/>
        <v>173744733.53</v>
      </c>
    </row>
    <row r="8" spans="1:35" x14ac:dyDescent="0.25">
      <c r="A8" s="26" t="s">
        <v>236</v>
      </c>
      <c r="B8" s="10"/>
      <c r="C8" s="10"/>
      <c r="D8" s="10"/>
      <c r="E8" s="10"/>
      <c r="F8" s="10">
        <v>2550000</v>
      </c>
      <c r="G8" s="10">
        <v>1000000</v>
      </c>
      <c r="H8" s="10"/>
      <c r="I8" s="10"/>
      <c r="J8" s="10"/>
      <c r="K8" s="10"/>
      <c r="L8" s="10">
        <v>3500000</v>
      </c>
      <c r="M8" s="10">
        <v>1540000</v>
      </c>
      <c r="N8" s="10">
        <v>4850000</v>
      </c>
      <c r="O8" s="10"/>
      <c r="P8" s="10"/>
      <c r="Q8" s="10"/>
      <c r="R8" s="10">
        <v>6980</v>
      </c>
      <c r="S8" s="10">
        <v>430000</v>
      </c>
      <c r="T8" s="10"/>
      <c r="U8" s="10">
        <v>8950000</v>
      </c>
      <c r="V8" s="10"/>
      <c r="W8" s="10"/>
      <c r="X8" s="10">
        <v>2300000</v>
      </c>
      <c r="Y8" s="10"/>
      <c r="Z8" s="10">
        <v>1000000</v>
      </c>
      <c r="AA8" s="10"/>
      <c r="AB8" s="10"/>
      <c r="AC8" s="10">
        <v>2500000</v>
      </c>
      <c r="AD8" s="10">
        <v>3630000</v>
      </c>
      <c r="AE8" s="10"/>
      <c r="AF8" s="10">
        <v>7500000</v>
      </c>
      <c r="AG8" s="10">
        <v>9000000</v>
      </c>
      <c r="AH8" s="10"/>
      <c r="AI8" s="81">
        <f t="shared" si="0"/>
        <v>48756980</v>
      </c>
    </row>
    <row r="9" spans="1:35" x14ac:dyDescent="0.25">
      <c r="A9" s="26" t="s">
        <v>32</v>
      </c>
      <c r="B9" s="10">
        <f>B10-B8-B7-B6-B5</f>
        <v>0</v>
      </c>
      <c r="C9" s="10">
        <f t="shared" ref="C9:AH9" si="1">C10-C8-C7-C6-C5</f>
        <v>0</v>
      </c>
      <c r="D9" s="10">
        <f t="shared" si="1"/>
        <v>0</v>
      </c>
      <c r="E9" s="10">
        <f t="shared" si="1"/>
        <v>0</v>
      </c>
      <c r="F9" s="10">
        <f t="shared" si="1"/>
        <v>0</v>
      </c>
      <c r="G9" s="10">
        <f t="shared" si="1"/>
        <v>0</v>
      </c>
      <c r="H9" s="10">
        <f t="shared" si="1"/>
        <v>0</v>
      </c>
      <c r="I9" s="10">
        <f t="shared" si="1"/>
        <v>0</v>
      </c>
      <c r="J9" s="10">
        <f t="shared" si="1"/>
        <v>134033</v>
      </c>
      <c r="K9" s="10">
        <f t="shared" si="1"/>
        <v>-1</v>
      </c>
      <c r="L9" s="10">
        <f t="shared" si="1"/>
        <v>0</v>
      </c>
      <c r="M9" s="10">
        <f t="shared" si="1"/>
        <v>0</v>
      </c>
      <c r="N9" s="10">
        <f t="shared" si="1"/>
        <v>3456</v>
      </c>
      <c r="O9" s="10">
        <f t="shared" si="1"/>
        <v>0</v>
      </c>
      <c r="P9" s="10">
        <f t="shared" si="1"/>
        <v>0</v>
      </c>
      <c r="Q9" s="10">
        <f t="shared" si="1"/>
        <v>0</v>
      </c>
      <c r="R9" s="10">
        <f t="shared" si="1"/>
        <v>29507</v>
      </c>
      <c r="S9" s="10">
        <f t="shared" si="1"/>
        <v>-1</v>
      </c>
      <c r="T9" s="10">
        <f t="shared" si="1"/>
        <v>0</v>
      </c>
      <c r="U9" s="10">
        <f t="shared" si="1"/>
        <v>0</v>
      </c>
      <c r="V9" s="10">
        <f t="shared" si="1"/>
        <v>0</v>
      </c>
      <c r="W9" s="10">
        <f t="shared" si="1"/>
        <v>1</v>
      </c>
      <c r="X9" s="10">
        <f t="shared" si="1"/>
        <v>0</v>
      </c>
      <c r="Y9" s="10">
        <f t="shared" si="1"/>
        <v>0</v>
      </c>
      <c r="Z9" s="10">
        <f t="shared" si="1"/>
        <v>0</v>
      </c>
      <c r="AA9" s="10">
        <f t="shared" si="1"/>
        <v>0</v>
      </c>
      <c r="AB9" s="10">
        <f t="shared" si="1"/>
        <v>-1</v>
      </c>
      <c r="AC9" s="10">
        <f t="shared" si="1"/>
        <v>0</v>
      </c>
      <c r="AD9" s="10">
        <f t="shared" si="1"/>
        <v>0</v>
      </c>
      <c r="AE9" s="10">
        <f t="shared" si="1"/>
        <v>0</v>
      </c>
      <c r="AF9" s="10">
        <f t="shared" si="1"/>
        <v>0</v>
      </c>
      <c r="AG9" s="10">
        <f t="shared" si="1"/>
        <v>0</v>
      </c>
      <c r="AH9" s="10">
        <f t="shared" si="1"/>
        <v>0</v>
      </c>
      <c r="AI9" s="81">
        <f t="shared" si="0"/>
        <v>166994</v>
      </c>
    </row>
    <row r="10" spans="1:35" s="8" customFormat="1" x14ac:dyDescent="0.25">
      <c r="A10" s="3" t="s">
        <v>42</v>
      </c>
      <c r="B10" s="11">
        <v>5460767</v>
      </c>
      <c r="C10" s="11">
        <v>13113028</v>
      </c>
      <c r="D10" s="11">
        <v>41507914</v>
      </c>
      <c r="E10" s="11">
        <v>67506662</v>
      </c>
      <c r="F10" s="11">
        <v>24873260</v>
      </c>
      <c r="G10" s="11">
        <v>19021539</v>
      </c>
      <c r="H10" s="11">
        <v>58841213.950000003</v>
      </c>
      <c r="I10" s="11">
        <v>3354614</v>
      </c>
      <c r="J10" s="11">
        <v>10538431</v>
      </c>
      <c r="K10" s="11">
        <v>16684912</v>
      </c>
      <c r="L10" s="11">
        <v>30407273</v>
      </c>
      <c r="M10" s="11">
        <v>11156450</v>
      </c>
      <c r="N10" s="11">
        <v>76544760</v>
      </c>
      <c r="O10" s="11">
        <v>27285208</v>
      </c>
      <c r="P10" s="11">
        <v>3050011</v>
      </c>
      <c r="Q10" s="11">
        <v>18344674</v>
      </c>
      <c r="R10" s="11">
        <v>4380168</v>
      </c>
      <c r="S10" s="11">
        <v>13148221</v>
      </c>
      <c r="T10" s="11">
        <v>11780467</v>
      </c>
      <c r="U10" s="11">
        <v>48104519</v>
      </c>
      <c r="V10" s="11">
        <v>4958585</v>
      </c>
      <c r="W10" s="11">
        <v>3071533</v>
      </c>
      <c r="X10" s="11">
        <v>21618446</v>
      </c>
      <c r="Y10" s="11">
        <v>11109248</v>
      </c>
      <c r="Z10" s="11">
        <v>14389097</v>
      </c>
      <c r="AA10" s="11">
        <v>24987011</v>
      </c>
      <c r="AB10" s="11">
        <v>19669559</v>
      </c>
      <c r="AC10" s="11">
        <v>22920180</v>
      </c>
      <c r="AD10" s="11">
        <v>32170500</v>
      </c>
      <c r="AE10" s="11">
        <v>319571152</v>
      </c>
      <c r="AF10" s="11">
        <v>58870992</v>
      </c>
      <c r="AG10" s="11">
        <v>42052211</v>
      </c>
      <c r="AH10" s="11">
        <v>10812467</v>
      </c>
      <c r="AI10" s="80">
        <f t="shared" si="0"/>
        <v>1091305072.95</v>
      </c>
    </row>
    <row r="11" spans="1:35" s="8" customFormat="1" x14ac:dyDescent="0.25">
      <c r="A11" s="3" t="s">
        <v>237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80"/>
    </row>
    <row r="12" spans="1:35" x14ac:dyDescent="0.25">
      <c r="A12" s="26" t="s">
        <v>238</v>
      </c>
      <c r="B12" s="10">
        <v>1438764</v>
      </c>
      <c r="C12" s="10">
        <v>2911540</v>
      </c>
      <c r="D12" s="10"/>
      <c r="E12" s="10">
        <v>45971417</v>
      </c>
      <c r="F12" s="10">
        <v>8501232</v>
      </c>
      <c r="G12" s="10">
        <v>10624162</v>
      </c>
      <c r="H12" s="10"/>
      <c r="I12" s="10">
        <v>844380</v>
      </c>
      <c r="J12" s="10"/>
      <c r="K12" s="10">
        <v>7170064</v>
      </c>
      <c r="L12" s="10">
        <v>23013463</v>
      </c>
      <c r="M12" s="10">
        <v>5043903</v>
      </c>
      <c r="N12" s="10">
        <v>68266206</v>
      </c>
      <c r="O12" s="10">
        <v>24083320</v>
      </c>
      <c r="P12" s="10">
        <v>1841099</v>
      </c>
      <c r="Q12" s="10">
        <v>8561714</v>
      </c>
      <c r="R12" s="10">
        <v>3952203</v>
      </c>
      <c r="S12" s="10">
        <v>3606113</v>
      </c>
      <c r="T12" s="10">
        <v>4572980</v>
      </c>
      <c r="U12" s="10">
        <v>1372954</v>
      </c>
      <c r="V12" s="10">
        <v>2228658</v>
      </c>
      <c r="W12" s="10">
        <v>2062043</v>
      </c>
      <c r="X12" s="10">
        <v>22610542</v>
      </c>
      <c r="Y12" s="10">
        <v>9687484</v>
      </c>
      <c r="Z12" s="10">
        <v>10511215</v>
      </c>
      <c r="AA12" s="10">
        <v>20601603</v>
      </c>
      <c r="AB12" s="10"/>
      <c r="AC12" s="10"/>
      <c r="AD12" s="10">
        <v>27316195</v>
      </c>
      <c r="AE12" s="10"/>
      <c r="AF12" s="10"/>
      <c r="AG12" s="10"/>
      <c r="AH12" s="10">
        <v>8835656</v>
      </c>
      <c r="AI12" s="81">
        <f t="shared" ref="AI12:AI17" si="2">SUM(B12:AH12)</f>
        <v>325628910</v>
      </c>
    </row>
    <row r="13" spans="1:35" x14ac:dyDescent="0.25">
      <c r="A13" s="26" t="s">
        <v>239</v>
      </c>
      <c r="B13" s="10">
        <v>2771889</v>
      </c>
      <c r="C13" s="10">
        <f>-70000+7968597</f>
        <v>7898597</v>
      </c>
      <c r="D13" s="10"/>
      <c r="E13" s="10">
        <v>154774154</v>
      </c>
      <c r="F13" s="10">
        <v>43494073</v>
      </c>
      <c r="G13" s="10">
        <v>89636475</v>
      </c>
      <c r="H13" s="10"/>
      <c r="I13" s="10">
        <v>2096607</v>
      </c>
      <c r="J13" s="10"/>
      <c r="K13" s="10">
        <v>36067901</v>
      </c>
      <c r="L13" s="10">
        <v>104170750</v>
      </c>
      <c r="M13" s="10">
        <v>15809631</v>
      </c>
      <c r="N13" s="10">
        <v>223353300</v>
      </c>
      <c r="O13" s="10">
        <v>88164962</v>
      </c>
      <c r="P13" s="10">
        <v>6108279</v>
      </c>
      <c r="Q13" s="10">
        <v>20764756</v>
      </c>
      <c r="R13" s="10">
        <v>22503356</v>
      </c>
      <c r="S13" s="10">
        <v>4300792</v>
      </c>
      <c r="T13" s="10">
        <v>8161349</v>
      </c>
      <c r="U13" s="10">
        <v>259234031</v>
      </c>
      <c r="V13" s="10">
        <v>2775061</v>
      </c>
      <c r="W13" s="10">
        <v>3909690</v>
      </c>
      <c r="X13" s="10">
        <v>100542399</v>
      </c>
      <c r="Y13" s="10">
        <v>14631352</v>
      </c>
      <c r="Z13" s="10">
        <v>52203255</v>
      </c>
      <c r="AA13" s="10">
        <v>59094325</v>
      </c>
      <c r="AB13" s="10"/>
      <c r="AC13" s="10"/>
      <c r="AD13" s="10">
        <v>115683042</v>
      </c>
      <c r="AE13" s="10"/>
      <c r="AF13" s="10"/>
      <c r="AG13" s="10"/>
      <c r="AH13" s="10">
        <v>23020905</v>
      </c>
      <c r="AI13" s="81">
        <f t="shared" si="2"/>
        <v>1461170931</v>
      </c>
    </row>
    <row r="14" spans="1:35" s="44" customFormat="1" x14ac:dyDescent="0.25">
      <c r="A14" s="19" t="s">
        <v>240</v>
      </c>
      <c r="B14" s="43">
        <f t="shared" ref="B14:C14" si="3">B12+B13</f>
        <v>4210653</v>
      </c>
      <c r="C14" s="43">
        <f t="shared" si="3"/>
        <v>10810137</v>
      </c>
      <c r="D14" s="43">
        <v>72272272</v>
      </c>
      <c r="E14" s="43">
        <f>E12+E13</f>
        <v>200745571</v>
      </c>
      <c r="F14" s="43">
        <f t="shared" ref="F14:AH14" si="4">F12+F13</f>
        <v>51995305</v>
      </c>
      <c r="G14" s="43">
        <f t="shared" si="4"/>
        <v>100260637</v>
      </c>
      <c r="H14" s="43">
        <v>114372678.88</v>
      </c>
      <c r="I14" s="43">
        <f t="shared" si="4"/>
        <v>2940987</v>
      </c>
      <c r="J14" s="43">
        <v>46854006</v>
      </c>
      <c r="K14" s="43">
        <f t="shared" si="4"/>
        <v>43237965</v>
      </c>
      <c r="L14" s="43">
        <f t="shared" si="4"/>
        <v>127184213</v>
      </c>
      <c r="M14" s="43">
        <f t="shared" si="4"/>
        <v>20853534</v>
      </c>
      <c r="N14" s="43">
        <f t="shared" si="4"/>
        <v>291619506</v>
      </c>
      <c r="O14" s="43">
        <f t="shared" si="4"/>
        <v>112248282</v>
      </c>
      <c r="P14" s="43">
        <f t="shared" si="4"/>
        <v>7949378</v>
      </c>
      <c r="Q14" s="43">
        <f t="shared" si="4"/>
        <v>29326470</v>
      </c>
      <c r="R14" s="43">
        <f t="shared" si="4"/>
        <v>26455559</v>
      </c>
      <c r="S14" s="43">
        <f t="shared" si="4"/>
        <v>7906905</v>
      </c>
      <c r="T14" s="43">
        <f t="shared" si="4"/>
        <v>12734329</v>
      </c>
      <c r="U14" s="43">
        <f t="shared" si="4"/>
        <v>260606985</v>
      </c>
      <c r="V14" s="43">
        <f t="shared" si="4"/>
        <v>5003719</v>
      </c>
      <c r="W14" s="43">
        <f t="shared" si="4"/>
        <v>5971733</v>
      </c>
      <c r="X14" s="43">
        <f t="shared" si="4"/>
        <v>123152941</v>
      </c>
      <c r="Y14" s="43">
        <f t="shared" si="4"/>
        <v>24318836</v>
      </c>
      <c r="Z14" s="43">
        <f t="shared" si="4"/>
        <v>62714470</v>
      </c>
      <c r="AA14" s="43">
        <f t="shared" si="4"/>
        <v>79695928</v>
      </c>
      <c r="AB14" s="43">
        <v>98923150</v>
      </c>
      <c r="AC14" s="43">
        <v>56047477</v>
      </c>
      <c r="AD14" s="43">
        <f t="shared" si="4"/>
        <v>142999237</v>
      </c>
      <c r="AE14" s="43">
        <v>582327055</v>
      </c>
      <c r="AF14" s="43">
        <v>227214325</v>
      </c>
      <c r="AG14" s="43">
        <v>316625877</v>
      </c>
      <c r="AH14" s="43">
        <f t="shared" si="4"/>
        <v>31856561</v>
      </c>
      <c r="AI14" s="82">
        <f t="shared" si="2"/>
        <v>3301436681.8800001</v>
      </c>
    </row>
    <row r="15" spans="1:35" x14ac:dyDescent="0.25">
      <c r="A15" s="26" t="s">
        <v>241</v>
      </c>
      <c r="B15" s="10"/>
      <c r="C15" s="10"/>
      <c r="D15" s="10">
        <v>146796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>
        <v>44987</v>
      </c>
      <c r="S15" s="10"/>
      <c r="T15" s="10"/>
      <c r="U15" s="10">
        <v>368004</v>
      </c>
      <c r="V15" s="10"/>
      <c r="W15" s="10"/>
      <c r="X15" s="10"/>
      <c r="Y15" s="10"/>
      <c r="Z15" s="10"/>
      <c r="AA15" s="10"/>
      <c r="AB15" s="10"/>
      <c r="AC15" s="10"/>
      <c r="AD15" s="10"/>
      <c r="AE15" s="10">
        <v>3132139</v>
      </c>
      <c r="AF15" s="10">
        <v>1436783</v>
      </c>
      <c r="AG15" s="10">
        <v>1832531</v>
      </c>
      <c r="AH15" s="10"/>
      <c r="AI15" s="81">
        <f t="shared" si="2"/>
        <v>6961240</v>
      </c>
    </row>
    <row r="16" spans="1:35" x14ac:dyDescent="0.25">
      <c r="A16" s="26" t="s">
        <v>242</v>
      </c>
      <c r="B16" s="10">
        <v>54693</v>
      </c>
      <c r="C16" s="10">
        <v>808039</v>
      </c>
      <c r="D16" s="10">
        <v>2390735</v>
      </c>
      <c r="E16" s="10">
        <v>4283394</v>
      </c>
      <c r="F16" s="10">
        <v>190481</v>
      </c>
      <c r="G16" s="10">
        <v>717875</v>
      </c>
      <c r="H16" s="10">
        <v>2940856.89</v>
      </c>
      <c r="I16" s="10">
        <v>129941</v>
      </c>
      <c r="J16" s="10">
        <v>347353</v>
      </c>
      <c r="K16" s="10">
        <v>958427</v>
      </c>
      <c r="L16" s="10">
        <v>2597091</v>
      </c>
      <c r="M16" s="10">
        <v>395125</v>
      </c>
      <c r="N16" s="10">
        <v>6539887</v>
      </c>
      <c r="O16" s="10">
        <v>737900</v>
      </c>
      <c r="P16" s="10">
        <v>74971</v>
      </c>
      <c r="Q16" s="10">
        <v>233329</v>
      </c>
      <c r="R16" s="10">
        <v>257020</v>
      </c>
      <c r="S16" s="10">
        <v>274864</v>
      </c>
      <c r="T16" s="10">
        <v>391069</v>
      </c>
      <c r="U16" s="10">
        <v>3845839</v>
      </c>
      <c r="V16" s="10">
        <v>496058</v>
      </c>
      <c r="W16" s="10">
        <v>60704</v>
      </c>
      <c r="X16" s="10">
        <v>391696</v>
      </c>
      <c r="Y16" s="10">
        <v>487331</v>
      </c>
      <c r="Z16" s="10">
        <v>279179</v>
      </c>
      <c r="AA16" s="10">
        <v>1095434</v>
      </c>
      <c r="AB16" s="10">
        <v>469957</v>
      </c>
      <c r="AC16" s="10">
        <v>929111</v>
      </c>
      <c r="AD16" s="10">
        <v>2061668</v>
      </c>
      <c r="AE16" s="10">
        <v>4531105</v>
      </c>
      <c r="AF16" s="10">
        <v>5742705</v>
      </c>
      <c r="AG16" s="10">
        <v>2613646</v>
      </c>
      <c r="AH16" s="10">
        <v>361644</v>
      </c>
      <c r="AI16" s="81">
        <f t="shared" si="2"/>
        <v>47689127.890000001</v>
      </c>
    </row>
    <row r="17" spans="1:35" x14ac:dyDescent="0.25">
      <c r="A17" s="26" t="s">
        <v>243</v>
      </c>
      <c r="B17" s="10"/>
      <c r="C17" s="10"/>
      <c r="D17" s="10">
        <v>18100</v>
      </c>
      <c r="E17" s="10">
        <v>788896</v>
      </c>
      <c r="F17" s="10"/>
      <c r="G17" s="10">
        <v>2055548</v>
      </c>
      <c r="H17" s="10">
        <v>424338.14</v>
      </c>
      <c r="I17" s="10"/>
      <c r="J17" s="10">
        <v>350942</v>
      </c>
      <c r="K17" s="10"/>
      <c r="L17" s="10">
        <v>421232</v>
      </c>
      <c r="M17" s="10">
        <v>149806</v>
      </c>
      <c r="N17" s="10">
        <v>4146652</v>
      </c>
      <c r="O17" s="10">
        <v>496900</v>
      </c>
      <c r="P17" s="10"/>
      <c r="Q17" s="10"/>
      <c r="R17" s="10">
        <v>204235</v>
      </c>
      <c r="S17" s="10"/>
      <c r="T17" s="10"/>
      <c r="U17" s="10"/>
      <c r="V17" s="10"/>
      <c r="W17" s="10">
        <v>63305</v>
      </c>
      <c r="X17" s="10">
        <v>372735</v>
      </c>
      <c r="Y17" s="10"/>
      <c r="Z17" s="10">
        <v>319354</v>
      </c>
      <c r="AA17" s="10">
        <v>190283</v>
      </c>
      <c r="AB17" s="10">
        <v>79192</v>
      </c>
      <c r="AC17" s="10">
        <v>28838</v>
      </c>
      <c r="AD17" s="10">
        <v>799660</v>
      </c>
      <c r="AE17" s="10">
        <v>2709546</v>
      </c>
      <c r="AF17" s="10"/>
      <c r="AG17" s="10"/>
      <c r="AH17" s="10">
        <v>9961</v>
      </c>
      <c r="AI17" s="81">
        <f t="shared" si="2"/>
        <v>13629523.140000001</v>
      </c>
    </row>
    <row r="18" spans="1:35" x14ac:dyDescent="0.25">
      <c r="A18" s="19" t="s">
        <v>244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81"/>
    </row>
    <row r="19" spans="1:35" x14ac:dyDescent="0.25">
      <c r="A19" s="26" t="s">
        <v>245</v>
      </c>
      <c r="B19" s="10">
        <v>31441</v>
      </c>
      <c r="C19" s="10">
        <v>551430</v>
      </c>
      <c r="D19" s="10">
        <v>77699352</v>
      </c>
      <c r="E19" s="10">
        <v>5516527</v>
      </c>
      <c r="F19" s="10">
        <v>242892</v>
      </c>
      <c r="G19" s="10">
        <v>457768</v>
      </c>
      <c r="H19" s="10">
        <v>14617096.130000001</v>
      </c>
      <c r="I19" s="10">
        <v>32497</v>
      </c>
      <c r="J19" s="10">
        <v>1302450</v>
      </c>
      <c r="K19" s="10">
        <v>724567</v>
      </c>
      <c r="L19" s="10">
        <v>2753365</v>
      </c>
      <c r="M19" s="10">
        <v>358272</v>
      </c>
      <c r="N19" s="10">
        <v>268531</v>
      </c>
      <c r="O19" s="10">
        <v>1128827</v>
      </c>
      <c r="P19" s="10">
        <v>137844</v>
      </c>
      <c r="Q19" s="10">
        <v>186421</v>
      </c>
      <c r="R19" s="10">
        <v>147270</v>
      </c>
      <c r="S19" s="10">
        <v>593445</v>
      </c>
      <c r="T19" s="10">
        <v>210483</v>
      </c>
      <c r="U19" s="10">
        <v>16254153</v>
      </c>
      <c r="V19" s="10">
        <v>42436</v>
      </c>
      <c r="W19" s="10">
        <v>58005</v>
      </c>
      <c r="X19" s="10">
        <v>912198</v>
      </c>
      <c r="Y19" s="10">
        <v>388158</v>
      </c>
      <c r="Z19" s="10">
        <v>498367</v>
      </c>
      <c r="AA19" s="10">
        <v>482890</v>
      </c>
      <c r="AB19" s="10">
        <v>693777</v>
      </c>
      <c r="AC19" s="10">
        <v>6060417</v>
      </c>
      <c r="AD19" s="10">
        <v>2103468</v>
      </c>
      <c r="AE19" s="10">
        <v>115185088</v>
      </c>
      <c r="AF19" s="10">
        <v>25087649</v>
      </c>
      <c r="AG19" s="10">
        <v>17845830</v>
      </c>
      <c r="AH19" s="10">
        <v>704979</v>
      </c>
      <c r="AI19" s="81">
        <f t="shared" ref="AI19:AI28" si="5">SUM(B19:AH19)</f>
        <v>293277893.13</v>
      </c>
    </row>
    <row r="20" spans="1:35" x14ac:dyDescent="0.25">
      <c r="A20" s="26" t="s">
        <v>246</v>
      </c>
      <c r="B20" s="10">
        <v>954169</v>
      </c>
      <c r="C20" s="10">
        <v>994512</v>
      </c>
      <c r="D20" s="10">
        <v>56596062</v>
      </c>
      <c r="E20" s="10">
        <v>30641138</v>
      </c>
      <c r="F20" s="10">
        <v>12321885</v>
      </c>
      <c r="G20" s="10">
        <v>10465338</v>
      </c>
      <c r="H20" s="10">
        <v>10482092.82</v>
      </c>
      <c r="I20" s="10">
        <v>795511</v>
      </c>
      <c r="J20" s="10">
        <v>8794928</v>
      </c>
      <c r="K20" s="10">
        <v>2565118</v>
      </c>
      <c r="L20" s="10">
        <v>24267132</v>
      </c>
      <c r="M20" s="10">
        <v>1755215</v>
      </c>
      <c r="N20" s="10">
        <v>80873698</v>
      </c>
      <c r="O20" s="10">
        <v>26877845</v>
      </c>
      <c r="P20" s="10">
        <v>516321</v>
      </c>
      <c r="Q20" s="10">
        <v>2645723</v>
      </c>
      <c r="R20" s="10">
        <v>1474319</v>
      </c>
      <c r="S20" s="10">
        <v>404333</v>
      </c>
      <c r="T20" s="10">
        <v>1378637</v>
      </c>
      <c r="U20" s="10">
        <v>89120781</v>
      </c>
      <c r="V20" s="10">
        <v>306763</v>
      </c>
      <c r="W20" s="10">
        <v>268586</v>
      </c>
      <c r="X20" s="10">
        <v>26901078</v>
      </c>
      <c r="Y20" s="10">
        <v>1239948</v>
      </c>
      <c r="Z20" s="10">
        <v>8700174</v>
      </c>
      <c r="AA20" s="10">
        <v>23894421</v>
      </c>
      <c r="AB20" s="10">
        <v>5435115</v>
      </c>
      <c r="AC20" s="10">
        <v>6103032</v>
      </c>
      <c r="AD20" s="10">
        <v>10519005</v>
      </c>
      <c r="AE20" s="10">
        <v>104037230</v>
      </c>
      <c r="AF20" s="10">
        <v>120867252</v>
      </c>
      <c r="AG20" s="10">
        <v>48752269</v>
      </c>
      <c r="AH20" s="10">
        <v>10892949</v>
      </c>
      <c r="AI20" s="81">
        <f t="shared" si="5"/>
        <v>731842579.81999993</v>
      </c>
    </row>
    <row r="21" spans="1:35" s="44" customFormat="1" x14ac:dyDescent="0.25">
      <c r="A21" s="19" t="s">
        <v>247</v>
      </c>
      <c r="B21" s="43">
        <f>B19+B20</f>
        <v>985610</v>
      </c>
      <c r="C21" s="43">
        <f t="shared" ref="C21:AH21" si="6">C19+C20</f>
        <v>1545942</v>
      </c>
      <c r="D21" s="43">
        <f t="shared" si="6"/>
        <v>134295414</v>
      </c>
      <c r="E21" s="43">
        <f t="shared" si="6"/>
        <v>36157665</v>
      </c>
      <c r="F21" s="43">
        <f t="shared" si="6"/>
        <v>12564777</v>
      </c>
      <c r="G21" s="43">
        <f t="shared" si="6"/>
        <v>10923106</v>
      </c>
      <c r="H21" s="43">
        <f t="shared" si="6"/>
        <v>25099188.950000003</v>
      </c>
      <c r="I21" s="43">
        <f t="shared" si="6"/>
        <v>828008</v>
      </c>
      <c r="J21" s="43">
        <f t="shared" si="6"/>
        <v>10097378</v>
      </c>
      <c r="K21" s="43">
        <f t="shared" si="6"/>
        <v>3289685</v>
      </c>
      <c r="L21" s="43">
        <f t="shared" si="6"/>
        <v>27020497</v>
      </c>
      <c r="M21" s="43">
        <f t="shared" si="6"/>
        <v>2113487</v>
      </c>
      <c r="N21" s="43">
        <f t="shared" si="6"/>
        <v>81142229</v>
      </c>
      <c r="O21" s="43">
        <f t="shared" si="6"/>
        <v>28006672</v>
      </c>
      <c r="P21" s="43">
        <f t="shared" si="6"/>
        <v>654165</v>
      </c>
      <c r="Q21" s="43">
        <f t="shared" si="6"/>
        <v>2832144</v>
      </c>
      <c r="R21" s="43">
        <f t="shared" si="6"/>
        <v>1621589</v>
      </c>
      <c r="S21" s="43">
        <f t="shared" si="6"/>
        <v>997778</v>
      </c>
      <c r="T21" s="43">
        <f t="shared" si="6"/>
        <v>1589120</v>
      </c>
      <c r="U21" s="43">
        <f t="shared" si="6"/>
        <v>105374934</v>
      </c>
      <c r="V21" s="43">
        <f t="shared" si="6"/>
        <v>349199</v>
      </c>
      <c r="W21" s="43">
        <f t="shared" si="6"/>
        <v>326591</v>
      </c>
      <c r="X21" s="43">
        <f t="shared" si="6"/>
        <v>27813276</v>
      </c>
      <c r="Y21" s="43">
        <f t="shared" si="6"/>
        <v>1628106</v>
      </c>
      <c r="Z21" s="43">
        <f t="shared" si="6"/>
        <v>9198541</v>
      </c>
      <c r="AA21" s="43">
        <f t="shared" si="6"/>
        <v>24377311</v>
      </c>
      <c r="AB21" s="43">
        <f t="shared" si="6"/>
        <v>6128892</v>
      </c>
      <c r="AC21" s="43">
        <f t="shared" si="6"/>
        <v>12163449</v>
      </c>
      <c r="AD21" s="43">
        <f t="shared" si="6"/>
        <v>12622473</v>
      </c>
      <c r="AE21" s="43">
        <f t="shared" si="6"/>
        <v>219222318</v>
      </c>
      <c r="AF21" s="43">
        <f t="shared" si="6"/>
        <v>145954901</v>
      </c>
      <c r="AG21" s="43">
        <f t="shared" si="6"/>
        <v>66598099</v>
      </c>
      <c r="AH21" s="43">
        <f t="shared" si="6"/>
        <v>11597928</v>
      </c>
      <c r="AI21" s="82">
        <f t="shared" si="5"/>
        <v>1025120472.95</v>
      </c>
    </row>
    <row r="22" spans="1:35" x14ac:dyDescent="0.25">
      <c r="A22" s="26" t="s">
        <v>248</v>
      </c>
      <c r="B22" s="10">
        <v>2599723</v>
      </c>
      <c r="C22" s="10">
        <v>4594886</v>
      </c>
      <c r="D22" s="10">
        <v>145071008</v>
      </c>
      <c r="E22" s="10">
        <v>134746371</v>
      </c>
      <c r="F22" s="10">
        <v>44951494</v>
      </c>
      <c r="G22" s="10">
        <v>73780584</v>
      </c>
      <c r="H22" s="10">
        <v>76643760.159999996</v>
      </c>
      <c r="I22" s="10">
        <v>1802051</v>
      </c>
      <c r="J22" s="10">
        <v>35879050</v>
      </c>
      <c r="K22" s="10">
        <v>25629187</v>
      </c>
      <c r="L22" s="10">
        <v>96048750</v>
      </c>
      <c r="M22" s="10">
        <v>7295068</v>
      </c>
      <c r="N22" s="10">
        <v>248739472</v>
      </c>
      <c r="O22" s="10">
        <v>89528205</v>
      </c>
      <c r="P22" s="10">
        <v>4017404</v>
      </c>
      <c r="Q22" s="10">
        <v>17034042</v>
      </c>
      <c r="R22" s="10">
        <v>19807459</v>
      </c>
      <c r="S22" s="10">
        <v>2161002</v>
      </c>
      <c r="T22" s="10">
        <v>5100324</v>
      </c>
      <c r="U22" s="10">
        <v>301713698</v>
      </c>
      <c r="V22" s="10">
        <v>1368835</v>
      </c>
      <c r="W22" s="10">
        <v>3163146</v>
      </c>
      <c r="X22" s="10">
        <v>113274408</v>
      </c>
      <c r="Y22" s="10">
        <v>8106714</v>
      </c>
      <c r="Z22" s="10">
        <v>47639259</v>
      </c>
      <c r="AA22" s="10">
        <v>56094125</v>
      </c>
      <c r="AB22" s="10">
        <v>74878224</v>
      </c>
      <c r="AC22" s="10">
        <v>16103446</v>
      </c>
      <c r="AD22" s="10">
        <v>96942174</v>
      </c>
      <c r="AE22" s="10">
        <v>366375809</v>
      </c>
      <c r="AF22" s="10">
        <v>262693646</v>
      </c>
      <c r="AG22" s="10">
        <v>267747650</v>
      </c>
      <c r="AH22" s="10">
        <v>25298621</v>
      </c>
      <c r="AI22" s="81">
        <f t="shared" si="5"/>
        <v>2676829595.1599998</v>
      </c>
    </row>
    <row r="23" spans="1:35" x14ac:dyDescent="0.25">
      <c r="A23" s="26" t="s">
        <v>60</v>
      </c>
      <c r="B23" s="10">
        <v>853307</v>
      </c>
      <c r="C23" s="10">
        <v>4562065</v>
      </c>
      <c r="D23" s="10">
        <v>22544395</v>
      </c>
      <c r="E23" s="10">
        <v>39722493</v>
      </c>
      <c r="F23" s="10">
        <v>9139967</v>
      </c>
      <c r="G23" s="10">
        <v>21155043</v>
      </c>
      <c r="H23" s="10">
        <v>7352088.75</v>
      </c>
      <c r="I23" s="10">
        <v>1029020</v>
      </c>
      <c r="J23" s="10">
        <v>11232200</v>
      </c>
      <c r="K23" s="10">
        <v>9929237</v>
      </c>
      <c r="L23" s="10">
        <v>30767010</v>
      </c>
      <c r="M23" s="10">
        <v>9378486</v>
      </c>
      <c r="N23" s="10">
        <v>58164042</v>
      </c>
      <c r="O23" s="10">
        <v>24676341</v>
      </c>
      <c r="P23" s="10">
        <v>2816554</v>
      </c>
      <c r="Q23" s="10">
        <v>6507079</v>
      </c>
      <c r="R23" s="10">
        <v>4509603</v>
      </c>
      <c r="S23" s="10">
        <v>3187593</v>
      </c>
      <c r="T23" s="10">
        <v>5608143</v>
      </c>
      <c r="U23" s="10">
        <v>60890394</v>
      </c>
      <c r="V23" s="10">
        <v>1819352</v>
      </c>
      <c r="W23" s="10">
        <v>1075800</v>
      </c>
      <c r="X23" s="10">
        <v>16837794</v>
      </c>
      <c r="Y23" s="10">
        <v>8893010</v>
      </c>
      <c r="Z23" s="10">
        <v>10483188</v>
      </c>
      <c r="AA23" s="10">
        <v>24277820</v>
      </c>
      <c r="AB23" s="10">
        <v>11053408</v>
      </c>
      <c r="AC23" s="10">
        <v>30145250</v>
      </c>
      <c r="AD23" s="10">
        <v>29370364</v>
      </c>
      <c r="AE23" s="10">
        <v>140780142</v>
      </c>
      <c r="AF23" s="10">
        <v>69184051</v>
      </c>
      <c r="AG23" s="10">
        <v>77870292</v>
      </c>
      <c r="AH23" s="10">
        <v>7715006</v>
      </c>
      <c r="AI23" s="81">
        <f t="shared" si="5"/>
        <v>763530537.75</v>
      </c>
    </row>
    <row r="24" spans="1:35" s="44" customFormat="1" x14ac:dyDescent="0.25">
      <c r="A24" s="19" t="s">
        <v>249</v>
      </c>
      <c r="B24" s="43">
        <f>B22+B23</f>
        <v>3453030</v>
      </c>
      <c r="C24" s="43">
        <f t="shared" ref="C24:AH24" si="7">C22+C23</f>
        <v>9156951</v>
      </c>
      <c r="D24" s="43">
        <f t="shared" si="7"/>
        <v>167615403</v>
      </c>
      <c r="E24" s="43">
        <f t="shared" si="7"/>
        <v>174468864</v>
      </c>
      <c r="F24" s="43">
        <f t="shared" si="7"/>
        <v>54091461</v>
      </c>
      <c r="G24" s="43">
        <f t="shared" si="7"/>
        <v>94935627</v>
      </c>
      <c r="H24" s="43">
        <f t="shared" si="7"/>
        <v>83995848.909999996</v>
      </c>
      <c r="I24" s="43">
        <f t="shared" si="7"/>
        <v>2831071</v>
      </c>
      <c r="J24" s="43">
        <f t="shared" si="7"/>
        <v>47111250</v>
      </c>
      <c r="K24" s="43">
        <f t="shared" si="7"/>
        <v>35558424</v>
      </c>
      <c r="L24" s="43">
        <f t="shared" si="7"/>
        <v>126815760</v>
      </c>
      <c r="M24" s="43">
        <f t="shared" si="7"/>
        <v>16673554</v>
      </c>
      <c r="N24" s="43">
        <f t="shared" si="7"/>
        <v>306903514</v>
      </c>
      <c r="O24" s="43">
        <f t="shared" si="7"/>
        <v>114204546</v>
      </c>
      <c r="P24" s="43">
        <f t="shared" si="7"/>
        <v>6833958</v>
      </c>
      <c r="Q24" s="43">
        <f t="shared" si="7"/>
        <v>23541121</v>
      </c>
      <c r="R24" s="43">
        <f t="shared" si="7"/>
        <v>24317062</v>
      </c>
      <c r="S24" s="43">
        <f t="shared" si="7"/>
        <v>5348595</v>
      </c>
      <c r="T24" s="43">
        <f t="shared" si="7"/>
        <v>10708467</v>
      </c>
      <c r="U24" s="43">
        <f t="shared" si="7"/>
        <v>362604092</v>
      </c>
      <c r="V24" s="43">
        <f t="shared" si="7"/>
        <v>3188187</v>
      </c>
      <c r="W24" s="43">
        <f t="shared" si="7"/>
        <v>4238946</v>
      </c>
      <c r="X24" s="43">
        <f t="shared" si="7"/>
        <v>130112202</v>
      </c>
      <c r="Y24" s="43">
        <f t="shared" si="7"/>
        <v>16999724</v>
      </c>
      <c r="Z24" s="43">
        <f t="shared" si="7"/>
        <v>58122447</v>
      </c>
      <c r="AA24" s="43">
        <f t="shared" si="7"/>
        <v>80371945</v>
      </c>
      <c r="AB24" s="43">
        <f t="shared" si="7"/>
        <v>85931632</v>
      </c>
      <c r="AC24" s="43">
        <f t="shared" si="7"/>
        <v>46248696</v>
      </c>
      <c r="AD24" s="43">
        <f t="shared" si="7"/>
        <v>126312538</v>
      </c>
      <c r="AE24" s="43">
        <f t="shared" si="7"/>
        <v>507155951</v>
      </c>
      <c r="AF24" s="43">
        <f t="shared" si="7"/>
        <v>331877697</v>
      </c>
      <c r="AG24" s="43">
        <f t="shared" si="7"/>
        <v>345617942</v>
      </c>
      <c r="AH24" s="43">
        <f t="shared" si="7"/>
        <v>33013627</v>
      </c>
      <c r="AI24" s="82">
        <f t="shared" si="5"/>
        <v>3440360132.9099998</v>
      </c>
    </row>
    <row r="25" spans="1:35" s="8" customFormat="1" x14ac:dyDescent="0.25">
      <c r="A25" s="3" t="s">
        <v>250</v>
      </c>
      <c r="B25" s="11">
        <f>B21-B24</f>
        <v>-2467420</v>
      </c>
      <c r="C25" s="11">
        <f t="shared" ref="C25:AH25" si="8">C21-C24</f>
        <v>-7611009</v>
      </c>
      <c r="D25" s="11">
        <f t="shared" si="8"/>
        <v>-33319989</v>
      </c>
      <c r="E25" s="11">
        <f t="shared" si="8"/>
        <v>-138311199</v>
      </c>
      <c r="F25" s="11">
        <f t="shared" si="8"/>
        <v>-41526684</v>
      </c>
      <c r="G25" s="11">
        <f t="shared" si="8"/>
        <v>-84012521</v>
      </c>
      <c r="H25" s="11">
        <f t="shared" si="8"/>
        <v>-58896659.959999993</v>
      </c>
      <c r="I25" s="11">
        <f t="shared" si="8"/>
        <v>-2003063</v>
      </c>
      <c r="J25" s="11">
        <f t="shared" si="8"/>
        <v>-37013872</v>
      </c>
      <c r="K25" s="11">
        <f t="shared" si="8"/>
        <v>-32268739</v>
      </c>
      <c r="L25" s="11">
        <f t="shared" si="8"/>
        <v>-99795263</v>
      </c>
      <c r="M25" s="11">
        <f t="shared" si="8"/>
        <v>-14560067</v>
      </c>
      <c r="N25" s="11">
        <f t="shared" si="8"/>
        <v>-225761285</v>
      </c>
      <c r="O25" s="11">
        <f t="shared" si="8"/>
        <v>-86197874</v>
      </c>
      <c r="P25" s="11">
        <f t="shared" si="8"/>
        <v>-6179793</v>
      </c>
      <c r="Q25" s="11">
        <f t="shared" si="8"/>
        <v>-20708977</v>
      </c>
      <c r="R25" s="11">
        <f t="shared" si="8"/>
        <v>-22695473</v>
      </c>
      <c r="S25" s="11">
        <f t="shared" si="8"/>
        <v>-4350817</v>
      </c>
      <c r="T25" s="11">
        <f t="shared" si="8"/>
        <v>-9119347</v>
      </c>
      <c r="U25" s="11">
        <f t="shared" si="8"/>
        <v>-257229158</v>
      </c>
      <c r="V25" s="11">
        <f t="shared" si="8"/>
        <v>-2838988</v>
      </c>
      <c r="W25" s="11">
        <f t="shared" si="8"/>
        <v>-3912355</v>
      </c>
      <c r="X25" s="11">
        <f t="shared" si="8"/>
        <v>-102298926</v>
      </c>
      <c r="Y25" s="11">
        <f t="shared" si="8"/>
        <v>-15371618</v>
      </c>
      <c r="Z25" s="11">
        <f t="shared" si="8"/>
        <v>-48923906</v>
      </c>
      <c r="AA25" s="11">
        <f t="shared" si="8"/>
        <v>-55994634</v>
      </c>
      <c r="AB25" s="11">
        <f t="shared" si="8"/>
        <v>-79802740</v>
      </c>
      <c r="AC25" s="11">
        <f t="shared" si="8"/>
        <v>-34085247</v>
      </c>
      <c r="AD25" s="11">
        <f t="shared" si="8"/>
        <v>-113690065</v>
      </c>
      <c r="AE25" s="11">
        <f t="shared" si="8"/>
        <v>-287933633</v>
      </c>
      <c r="AF25" s="11">
        <f t="shared" si="8"/>
        <v>-185922796</v>
      </c>
      <c r="AG25" s="11">
        <f t="shared" si="8"/>
        <v>-279019843</v>
      </c>
      <c r="AH25" s="11">
        <f t="shared" si="8"/>
        <v>-21415699</v>
      </c>
      <c r="AI25" s="80">
        <f t="shared" si="5"/>
        <v>-2415239659.96</v>
      </c>
    </row>
    <row r="26" spans="1:35" ht="30" x14ac:dyDescent="0.25">
      <c r="A26" s="26" t="s">
        <v>251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>
        <v>4732848</v>
      </c>
      <c r="V26" s="10"/>
      <c r="W26" s="10"/>
      <c r="X26" s="10"/>
      <c r="Y26" s="10"/>
      <c r="Z26" s="10"/>
      <c r="AA26" s="10"/>
      <c r="AB26" s="10"/>
      <c r="AC26" s="10"/>
      <c r="AD26" s="10"/>
      <c r="AE26" s="10">
        <v>14804940</v>
      </c>
      <c r="AF26" s="10">
        <v>10399975</v>
      </c>
      <c r="AG26" s="10"/>
      <c r="AH26" s="10"/>
      <c r="AI26" s="81">
        <f t="shared" si="5"/>
        <v>29937763</v>
      </c>
    </row>
    <row r="27" spans="1:35" ht="30" x14ac:dyDescent="0.25">
      <c r="A27" s="26" t="s">
        <v>252</v>
      </c>
      <c r="B27" s="10">
        <v>3662841</v>
      </c>
      <c r="C27" s="10">
        <v>9105861</v>
      </c>
      <c r="D27" s="10"/>
      <c r="E27" s="10"/>
      <c r="F27" s="10">
        <v>14214158</v>
      </c>
      <c r="G27" s="10"/>
      <c r="H27" s="10"/>
      <c r="I27" s="10">
        <v>2286749</v>
      </c>
      <c r="J27" s="10"/>
      <c r="K27" s="10">
        <v>4757259</v>
      </c>
      <c r="L27" s="10"/>
      <c r="M27" s="10">
        <v>4318052</v>
      </c>
      <c r="N27" s="10"/>
      <c r="O27" s="10"/>
      <c r="P27" s="10">
        <v>1205455</v>
      </c>
      <c r="Q27" s="10">
        <v>9493851</v>
      </c>
      <c r="R27" s="10">
        <v>113840</v>
      </c>
      <c r="S27" s="10">
        <v>9317269</v>
      </c>
      <c r="T27" s="10">
        <v>7774416</v>
      </c>
      <c r="U27" s="10">
        <v>35780000</v>
      </c>
      <c r="V27" s="10">
        <v>2297796</v>
      </c>
      <c r="W27" s="10">
        <v>888147</v>
      </c>
      <c r="X27" s="10"/>
      <c r="Y27" s="10">
        <v>1674699</v>
      </c>
      <c r="Z27" s="10"/>
      <c r="AA27" s="10"/>
      <c r="AB27" s="10"/>
      <c r="AC27" s="10"/>
      <c r="AD27" s="10"/>
      <c r="AE27" s="10"/>
      <c r="AF27" s="10">
        <v>0</v>
      </c>
      <c r="AG27" s="10"/>
      <c r="AH27" s="10"/>
      <c r="AI27" s="81">
        <f t="shared" si="5"/>
        <v>106890393</v>
      </c>
    </row>
    <row r="28" spans="1:35" s="8" customFormat="1" x14ac:dyDescent="0.25">
      <c r="A28" s="3" t="s">
        <v>42</v>
      </c>
      <c r="B28" s="11">
        <v>5460767</v>
      </c>
      <c r="C28" s="11">
        <v>13113028</v>
      </c>
      <c r="D28" s="11">
        <v>41507914</v>
      </c>
      <c r="E28" s="11">
        <v>67506662</v>
      </c>
      <c r="F28" s="11">
        <v>24873260</v>
      </c>
      <c r="G28" s="11">
        <v>19021539</v>
      </c>
      <c r="H28" s="11">
        <v>58841213.950000003</v>
      </c>
      <c r="I28" s="11">
        <v>3354614</v>
      </c>
      <c r="J28" s="11">
        <v>10538431</v>
      </c>
      <c r="K28" s="11">
        <v>16684912</v>
      </c>
      <c r="L28" s="11">
        <v>30407273</v>
      </c>
      <c r="M28" s="11">
        <v>11156450</v>
      </c>
      <c r="N28" s="11">
        <v>76544760</v>
      </c>
      <c r="O28" s="11">
        <v>27285208</v>
      </c>
      <c r="P28" s="11">
        <v>3050011</v>
      </c>
      <c r="Q28" s="11">
        <v>18344674</v>
      </c>
      <c r="R28" s="11">
        <v>4380168</v>
      </c>
      <c r="S28" s="11">
        <v>13148221</v>
      </c>
      <c r="T28" s="11">
        <v>11780467</v>
      </c>
      <c r="U28" s="11">
        <v>48104519</v>
      </c>
      <c r="V28" s="11">
        <v>4958585</v>
      </c>
      <c r="W28" s="11">
        <v>3071533</v>
      </c>
      <c r="X28" s="11">
        <v>21618446</v>
      </c>
      <c r="Y28" s="11">
        <v>11109248</v>
      </c>
      <c r="Z28" s="11">
        <v>14389097</v>
      </c>
      <c r="AA28" s="11">
        <v>24987011</v>
      </c>
      <c r="AB28" s="11">
        <v>19669559</v>
      </c>
      <c r="AC28" s="11">
        <v>22920180</v>
      </c>
      <c r="AD28" s="11">
        <v>32170500</v>
      </c>
      <c r="AE28" s="11">
        <v>319571152</v>
      </c>
      <c r="AF28" s="11">
        <v>58870992</v>
      </c>
      <c r="AG28" s="11">
        <v>42052211</v>
      </c>
      <c r="AH28" s="11">
        <v>10812467</v>
      </c>
      <c r="AI28" s="80">
        <f t="shared" si="5"/>
        <v>1091305072.95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9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7" customWidth="1"/>
    <col min="2" max="69" width="16" style="7" customWidth="1"/>
    <col min="70" max="16384" width="9.140625" style="7"/>
  </cols>
  <sheetData>
    <row r="1" spans="1:69" ht="18.75" x14ac:dyDescent="0.3">
      <c r="A1" s="5" t="s">
        <v>231</v>
      </c>
    </row>
    <row r="2" spans="1:69" x14ac:dyDescent="0.25">
      <c r="A2" s="18" t="s">
        <v>34</v>
      </c>
    </row>
    <row r="3" spans="1:69" x14ac:dyDescent="0.25">
      <c r="A3" s="33" t="s">
        <v>216</v>
      </c>
    </row>
    <row r="4" spans="1:69" x14ac:dyDescent="0.25">
      <c r="A4" s="1" t="s">
        <v>0</v>
      </c>
      <c r="B4" s="116" t="s">
        <v>1</v>
      </c>
      <c r="C4" s="117"/>
      <c r="D4" s="116" t="s">
        <v>285</v>
      </c>
      <c r="E4" s="117"/>
      <c r="F4" s="116" t="s">
        <v>2</v>
      </c>
      <c r="G4" s="117"/>
      <c r="H4" s="116" t="s">
        <v>3</v>
      </c>
      <c r="I4" s="117"/>
      <c r="J4" s="116" t="s">
        <v>4</v>
      </c>
      <c r="K4" s="117"/>
      <c r="L4" s="116" t="s">
        <v>286</v>
      </c>
      <c r="M4" s="117"/>
      <c r="N4" s="116" t="s">
        <v>6</v>
      </c>
      <c r="O4" s="117"/>
      <c r="P4" s="116" t="s">
        <v>5</v>
      </c>
      <c r="Q4" s="117"/>
      <c r="R4" s="116" t="s">
        <v>7</v>
      </c>
      <c r="S4" s="117"/>
      <c r="T4" s="116" t="s">
        <v>287</v>
      </c>
      <c r="U4" s="117"/>
      <c r="V4" s="116" t="s">
        <v>8</v>
      </c>
      <c r="W4" s="117"/>
      <c r="X4" s="116" t="s">
        <v>288</v>
      </c>
      <c r="Y4" s="117"/>
      <c r="Z4" s="116" t="s">
        <v>9</v>
      </c>
      <c r="AA4" s="117"/>
      <c r="AB4" s="116" t="s">
        <v>10</v>
      </c>
      <c r="AC4" s="117"/>
      <c r="AD4" s="116" t="s">
        <v>289</v>
      </c>
      <c r="AE4" s="117"/>
      <c r="AF4" s="116" t="s">
        <v>11</v>
      </c>
      <c r="AG4" s="117"/>
      <c r="AH4" s="116" t="s">
        <v>12</v>
      </c>
      <c r="AI4" s="117"/>
      <c r="AJ4" s="116" t="s">
        <v>290</v>
      </c>
      <c r="AK4" s="117"/>
      <c r="AL4" s="116" t="s">
        <v>299</v>
      </c>
      <c r="AM4" s="117"/>
      <c r="AN4" s="116" t="s">
        <v>13</v>
      </c>
      <c r="AO4" s="117"/>
      <c r="AP4" s="116" t="s">
        <v>291</v>
      </c>
      <c r="AQ4" s="117"/>
      <c r="AR4" s="116" t="s">
        <v>292</v>
      </c>
      <c r="AS4" s="117"/>
      <c r="AT4" s="116" t="s">
        <v>307</v>
      </c>
      <c r="AU4" s="117"/>
      <c r="AV4" s="116" t="s">
        <v>293</v>
      </c>
      <c r="AW4" s="117"/>
      <c r="AX4" s="116" t="s">
        <v>14</v>
      </c>
      <c r="AY4" s="117"/>
      <c r="AZ4" s="116" t="s">
        <v>15</v>
      </c>
      <c r="BA4" s="117"/>
      <c r="BB4" s="116" t="s">
        <v>16</v>
      </c>
      <c r="BC4" s="117"/>
      <c r="BD4" s="116" t="s">
        <v>17</v>
      </c>
      <c r="BE4" s="117"/>
      <c r="BF4" s="116" t="s">
        <v>18</v>
      </c>
      <c r="BG4" s="117"/>
      <c r="BH4" s="116" t="s">
        <v>294</v>
      </c>
      <c r="BI4" s="117"/>
      <c r="BJ4" s="116" t="s">
        <v>295</v>
      </c>
      <c r="BK4" s="117"/>
      <c r="BL4" s="116" t="s">
        <v>19</v>
      </c>
      <c r="BM4" s="117"/>
      <c r="BN4" s="116" t="s">
        <v>20</v>
      </c>
      <c r="BO4" s="117"/>
      <c r="BP4" s="118" t="s">
        <v>21</v>
      </c>
      <c r="BQ4" s="119"/>
    </row>
    <row r="5" spans="1:69" ht="30" x14ac:dyDescent="0.25">
      <c r="A5" s="1"/>
      <c r="B5" s="67" t="s">
        <v>296</v>
      </c>
      <c r="C5" s="68" t="s">
        <v>297</v>
      </c>
      <c r="D5" s="67" t="s">
        <v>296</v>
      </c>
      <c r="E5" s="68" t="s">
        <v>297</v>
      </c>
      <c r="F5" s="67" t="s">
        <v>296</v>
      </c>
      <c r="G5" s="68" t="s">
        <v>297</v>
      </c>
      <c r="H5" s="67" t="s">
        <v>296</v>
      </c>
      <c r="I5" s="68" t="s">
        <v>297</v>
      </c>
      <c r="J5" s="67" t="s">
        <v>296</v>
      </c>
      <c r="K5" s="68" t="s">
        <v>297</v>
      </c>
      <c r="L5" s="67" t="s">
        <v>296</v>
      </c>
      <c r="M5" s="68" t="s">
        <v>297</v>
      </c>
      <c r="N5" s="67" t="s">
        <v>296</v>
      </c>
      <c r="O5" s="68" t="s">
        <v>297</v>
      </c>
      <c r="P5" s="67" t="s">
        <v>296</v>
      </c>
      <c r="Q5" s="68" t="s">
        <v>297</v>
      </c>
      <c r="R5" s="67" t="s">
        <v>296</v>
      </c>
      <c r="S5" s="68" t="s">
        <v>297</v>
      </c>
      <c r="T5" s="67" t="s">
        <v>296</v>
      </c>
      <c r="U5" s="68" t="s">
        <v>297</v>
      </c>
      <c r="V5" s="67" t="s">
        <v>296</v>
      </c>
      <c r="W5" s="68" t="s">
        <v>297</v>
      </c>
      <c r="X5" s="67" t="s">
        <v>296</v>
      </c>
      <c r="Y5" s="68" t="s">
        <v>297</v>
      </c>
      <c r="Z5" s="67" t="s">
        <v>296</v>
      </c>
      <c r="AA5" s="68" t="s">
        <v>297</v>
      </c>
      <c r="AB5" s="67" t="s">
        <v>296</v>
      </c>
      <c r="AC5" s="68" t="s">
        <v>297</v>
      </c>
      <c r="AD5" s="67" t="s">
        <v>296</v>
      </c>
      <c r="AE5" s="68" t="s">
        <v>297</v>
      </c>
      <c r="AF5" s="67" t="s">
        <v>296</v>
      </c>
      <c r="AG5" s="68" t="s">
        <v>297</v>
      </c>
      <c r="AH5" s="67" t="s">
        <v>296</v>
      </c>
      <c r="AI5" s="68" t="s">
        <v>297</v>
      </c>
      <c r="AJ5" s="67" t="s">
        <v>296</v>
      </c>
      <c r="AK5" s="68" t="s">
        <v>297</v>
      </c>
      <c r="AL5" s="67" t="s">
        <v>296</v>
      </c>
      <c r="AM5" s="68" t="s">
        <v>297</v>
      </c>
      <c r="AN5" s="67" t="s">
        <v>296</v>
      </c>
      <c r="AO5" s="68" t="s">
        <v>297</v>
      </c>
      <c r="AP5" s="67" t="s">
        <v>296</v>
      </c>
      <c r="AQ5" s="68" t="s">
        <v>297</v>
      </c>
      <c r="AR5" s="67" t="s">
        <v>296</v>
      </c>
      <c r="AS5" s="68" t="s">
        <v>297</v>
      </c>
      <c r="AT5" s="67" t="s">
        <v>296</v>
      </c>
      <c r="AU5" s="68" t="s">
        <v>297</v>
      </c>
      <c r="AV5" s="67" t="s">
        <v>296</v>
      </c>
      <c r="AW5" s="68" t="s">
        <v>297</v>
      </c>
      <c r="AX5" s="67" t="s">
        <v>296</v>
      </c>
      <c r="AY5" s="68" t="s">
        <v>297</v>
      </c>
      <c r="AZ5" s="67" t="s">
        <v>296</v>
      </c>
      <c r="BA5" s="68" t="s">
        <v>297</v>
      </c>
      <c r="BB5" s="67" t="s">
        <v>296</v>
      </c>
      <c r="BC5" s="68" t="s">
        <v>297</v>
      </c>
      <c r="BD5" s="67" t="s">
        <v>296</v>
      </c>
      <c r="BE5" s="68" t="s">
        <v>297</v>
      </c>
      <c r="BF5" s="67" t="s">
        <v>296</v>
      </c>
      <c r="BG5" s="68" t="s">
        <v>297</v>
      </c>
      <c r="BH5" s="67" t="s">
        <v>296</v>
      </c>
      <c r="BI5" s="68" t="s">
        <v>297</v>
      </c>
      <c r="BJ5" s="67" t="s">
        <v>296</v>
      </c>
      <c r="BK5" s="68" t="s">
        <v>297</v>
      </c>
      <c r="BL5" s="67" t="s">
        <v>296</v>
      </c>
      <c r="BM5" s="68" t="s">
        <v>297</v>
      </c>
      <c r="BN5" s="67" t="s">
        <v>296</v>
      </c>
      <c r="BO5" s="68" t="s">
        <v>297</v>
      </c>
      <c r="BP5" s="84" t="s">
        <v>280</v>
      </c>
      <c r="BQ5" s="85" t="s">
        <v>281</v>
      </c>
    </row>
    <row r="6" spans="1:69" x14ac:dyDescent="0.25">
      <c r="A6" s="10" t="s">
        <v>271</v>
      </c>
      <c r="B6" s="10">
        <v>2</v>
      </c>
      <c r="C6" s="10">
        <v>2</v>
      </c>
      <c r="D6" s="10"/>
      <c r="E6" s="10"/>
      <c r="F6" s="10"/>
      <c r="G6" s="10"/>
      <c r="H6" s="10">
        <v>3263279</v>
      </c>
      <c r="I6" s="10">
        <v>8799669</v>
      </c>
      <c r="J6" s="10">
        <v>592890</v>
      </c>
      <c r="K6" s="10">
        <v>1824026</v>
      </c>
      <c r="L6" s="10">
        <v>1056775</v>
      </c>
      <c r="M6" s="10">
        <v>2214757</v>
      </c>
      <c r="N6" s="10"/>
      <c r="O6" s="10"/>
      <c r="P6" s="10">
        <v>25612</v>
      </c>
      <c r="Q6" s="10">
        <v>64365</v>
      </c>
      <c r="R6" s="10">
        <v>735235</v>
      </c>
      <c r="S6" s="10">
        <v>2319851</v>
      </c>
      <c r="T6" s="10">
        <v>465176</v>
      </c>
      <c r="U6" s="10">
        <v>691990</v>
      </c>
      <c r="V6" s="10">
        <v>2471511</v>
      </c>
      <c r="W6" s="10">
        <v>6710597</v>
      </c>
      <c r="X6" s="10"/>
      <c r="Y6" s="10"/>
      <c r="Z6" s="10">
        <v>4117441</v>
      </c>
      <c r="AA6" s="10">
        <v>12592316</v>
      </c>
      <c r="AB6" s="10">
        <v>1791337</v>
      </c>
      <c r="AC6" s="10">
        <v>5073553</v>
      </c>
      <c r="AD6" s="10">
        <v>85581</v>
      </c>
      <c r="AE6" s="10">
        <v>137297</v>
      </c>
      <c r="AF6" s="10">
        <v>194631</v>
      </c>
      <c r="AG6" s="10">
        <v>572324</v>
      </c>
      <c r="AH6" s="10">
        <v>179782</v>
      </c>
      <c r="AI6" s="10">
        <v>483475</v>
      </c>
      <c r="AJ6" s="10"/>
      <c r="AK6" s="10"/>
      <c r="AL6" s="10"/>
      <c r="AM6" s="10"/>
      <c r="AN6" s="10">
        <v>2561861.7309336718</v>
      </c>
      <c r="AO6" s="10">
        <v>7129504.4360734792</v>
      </c>
      <c r="AP6" s="10">
        <v>64107</v>
      </c>
      <c r="AQ6" s="10">
        <v>69486</v>
      </c>
      <c r="AR6" s="10">
        <v>38595</v>
      </c>
      <c r="AS6" s="10">
        <v>65252</v>
      </c>
      <c r="AT6" s="10">
        <v>1883931</v>
      </c>
      <c r="AU6" s="10">
        <v>5968369</v>
      </c>
      <c r="AV6" s="10"/>
      <c r="AW6" s="10"/>
      <c r="AX6" s="10">
        <v>595113</v>
      </c>
      <c r="AY6" s="10">
        <v>1673180</v>
      </c>
      <c r="AZ6" s="10">
        <v>3145592</v>
      </c>
      <c r="BA6" s="10">
        <v>6436304</v>
      </c>
      <c r="BB6" s="10">
        <v>101978</v>
      </c>
      <c r="BC6" s="10">
        <v>182864</v>
      </c>
      <c r="BD6" s="10"/>
      <c r="BE6" s="10"/>
      <c r="BF6" s="10">
        <v>3071888</v>
      </c>
      <c r="BG6" s="10">
        <v>8186742</v>
      </c>
      <c r="BH6" s="10">
        <v>9584490</v>
      </c>
      <c r="BI6" s="10">
        <v>25311577</v>
      </c>
      <c r="BJ6" s="10">
        <v>3596663</v>
      </c>
      <c r="BK6" s="10">
        <v>10476633</v>
      </c>
      <c r="BL6" s="108">
        <v>3937796</v>
      </c>
      <c r="BM6" s="108">
        <v>10309793</v>
      </c>
      <c r="BN6" s="10">
        <v>334305</v>
      </c>
      <c r="BO6" s="10">
        <v>1342487</v>
      </c>
      <c r="BP6" s="88">
        <f>SUM(B6+D6+F6+H6+J6+L6+N6+P6+R6+T6+V6+X6+Z6+AB6+AD6+AF6+AH6+AJ6+AL6+AN6+AP6+AR6+AT6+AV6+AX6+AZ6+BB6+BD6+BF6+BH6+BJ6+BL6+BN6)</f>
        <v>43895571.730933674</v>
      </c>
      <c r="BQ6" s="88">
        <f>SUM(C6+E6+G6+I6+K6+M6+O6+Q6+S6+U6+W6+Y6+AA6+AC6+AE6+AG6+AI6+AK6+AM6+AO6+AQ6+AS6+AU6+AW6+AY6+BA6+BC6+BE6+BG6+BI6+BK6+BM6+BO6)</f>
        <v>118636413.43607348</v>
      </c>
    </row>
    <row r="7" spans="1:69" x14ac:dyDescent="0.25">
      <c r="A7" s="10" t="s">
        <v>274</v>
      </c>
      <c r="B7" s="10"/>
      <c r="C7" s="10"/>
      <c r="D7" s="10"/>
      <c r="E7" s="10"/>
      <c r="F7" s="10"/>
      <c r="G7" s="10"/>
      <c r="H7" s="10">
        <v>118352</v>
      </c>
      <c r="I7" s="10">
        <v>327150</v>
      </c>
      <c r="J7" s="10">
        <v>70183</v>
      </c>
      <c r="K7" s="10">
        <v>163160</v>
      </c>
      <c r="L7" s="10">
        <v>30770</v>
      </c>
      <c r="M7" s="10">
        <v>60255</v>
      </c>
      <c r="N7" s="10"/>
      <c r="O7" s="10"/>
      <c r="P7" s="10">
        <v>8612</v>
      </c>
      <c r="Q7" s="10">
        <v>42569</v>
      </c>
      <c r="R7" s="10">
        <v>124227</v>
      </c>
      <c r="S7" s="10">
        <v>408874</v>
      </c>
      <c r="T7" s="10">
        <v>210371</v>
      </c>
      <c r="U7" s="10">
        <v>1885296</v>
      </c>
      <c r="V7" s="10">
        <v>119540</v>
      </c>
      <c r="W7" s="10">
        <v>696602</v>
      </c>
      <c r="X7" s="10"/>
      <c r="Y7" s="10"/>
      <c r="Z7" s="10">
        <v>182329</v>
      </c>
      <c r="AA7" s="10">
        <v>596651</v>
      </c>
      <c r="AB7" s="10">
        <v>177235</v>
      </c>
      <c r="AC7" s="10">
        <v>574964</v>
      </c>
      <c r="AD7" s="10">
        <v>7854</v>
      </c>
      <c r="AE7" s="10">
        <v>15889</v>
      </c>
      <c r="AF7" s="10">
        <v>19224</v>
      </c>
      <c r="AG7" s="10">
        <v>54883</v>
      </c>
      <c r="AH7" s="10">
        <v>103824</v>
      </c>
      <c r="AI7" s="10">
        <v>363432</v>
      </c>
      <c r="AJ7" s="10"/>
      <c r="AK7" s="10"/>
      <c r="AL7" s="10"/>
      <c r="AM7" s="10"/>
      <c r="AN7" s="10">
        <v>37903.493840992043</v>
      </c>
      <c r="AO7" s="10">
        <v>491576.47987099201</v>
      </c>
      <c r="AP7" s="10">
        <v>1571</v>
      </c>
      <c r="AQ7" s="10">
        <v>2538</v>
      </c>
      <c r="AR7" s="10">
        <v>8628</v>
      </c>
      <c r="AS7" s="10">
        <v>18829</v>
      </c>
      <c r="AT7" s="10">
        <v>242873</v>
      </c>
      <c r="AU7" s="10">
        <v>562514</v>
      </c>
      <c r="AV7" s="10"/>
      <c r="AW7" s="10"/>
      <c r="AX7" s="10">
        <v>108536</v>
      </c>
      <c r="AY7" s="10">
        <v>353772</v>
      </c>
      <c r="AZ7" s="10">
        <v>12265</v>
      </c>
      <c r="BA7" s="10">
        <v>15672</v>
      </c>
      <c r="BB7" s="10">
        <v>14929</v>
      </c>
      <c r="BC7" s="10">
        <v>32042</v>
      </c>
      <c r="BD7" s="10"/>
      <c r="BE7" s="10"/>
      <c r="BF7" s="10">
        <v>175445</v>
      </c>
      <c r="BG7" s="10">
        <v>680439</v>
      </c>
      <c r="BH7" s="10">
        <v>2653476</v>
      </c>
      <c r="BI7" s="10">
        <v>6197133</v>
      </c>
      <c r="BJ7" s="10">
        <v>492295</v>
      </c>
      <c r="BK7" s="10">
        <v>502997</v>
      </c>
      <c r="BL7" s="108">
        <v>70177</v>
      </c>
      <c r="BM7" s="108">
        <v>322755</v>
      </c>
      <c r="BN7" s="10">
        <v>7894</v>
      </c>
      <c r="BO7" s="10">
        <v>12888</v>
      </c>
      <c r="BP7" s="88">
        <f t="shared" ref="BP7:BP10" si="0">SUM(B7+D7+F7+H7+J7+L7+N7+P7+R7+T7+V7+X7+Z7+AB7+AD7+AF7+AH7+AJ7+AL7+AN7+AP7+AR7+AT7+AV7+AX7+AZ7+BB7+BD7+BF7+BH7+BJ7+BL7+BN7)</f>
        <v>4998513.4938409925</v>
      </c>
      <c r="BQ7" s="88">
        <f t="shared" ref="BQ7:BQ10" si="1">SUM(C7+E7+G7+I7+K7+M7+O7+Q7+S7+U7+W7+Y7+AA7+AC7+AE7+AG7+AI7+AK7+AM7+AO7+AQ7+AS7+AU7+AW7+AY7+BA7+BC7+BE7+BG7+BI7+BK7+BM7+BO7)</f>
        <v>14382880.479870992</v>
      </c>
    </row>
    <row r="8" spans="1:69" x14ac:dyDescent="0.25">
      <c r="A8" s="10" t="s">
        <v>275</v>
      </c>
      <c r="B8" s="10"/>
      <c r="C8" s="10"/>
      <c r="D8" s="10"/>
      <c r="E8" s="10"/>
      <c r="F8" s="10"/>
      <c r="G8" s="10"/>
      <c r="H8" s="10">
        <v>2689369</v>
      </c>
      <c r="I8" s="10">
        <v>7835879</v>
      </c>
      <c r="J8" s="10">
        <v>493420</v>
      </c>
      <c r="K8" s="10">
        <v>1640745</v>
      </c>
      <c r="L8" s="10">
        <v>673365</v>
      </c>
      <c r="M8" s="10">
        <v>1546004</v>
      </c>
      <c r="N8" s="10"/>
      <c r="O8" s="10"/>
      <c r="P8" s="10">
        <v>25744</v>
      </c>
      <c r="Q8" s="10">
        <v>93236</v>
      </c>
      <c r="R8" s="10">
        <v>606419</v>
      </c>
      <c r="S8" s="10">
        <v>1976671</v>
      </c>
      <c r="T8" s="10">
        <v>595891</v>
      </c>
      <c r="U8" s="10">
        <v>2316841</v>
      </c>
      <c r="V8" s="10">
        <v>-1868357</v>
      </c>
      <c r="W8" s="10">
        <v>-5713285</v>
      </c>
      <c r="X8" s="10"/>
      <c r="Y8" s="10"/>
      <c r="Z8" s="10">
        <v>2970066</v>
      </c>
      <c r="AA8" s="10">
        <v>9661105</v>
      </c>
      <c r="AB8" s="10">
        <v>1828121</v>
      </c>
      <c r="AC8" s="10">
        <v>5206296</v>
      </c>
      <c r="AD8" s="10">
        <v>45753</v>
      </c>
      <c r="AE8" s="10">
        <v>85473</v>
      </c>
      <c r="AF8" s="10">
        <v>154432</v>
      </c>
      <c r="AG8" s="10">
        <v>552042</v>
      </c>
      <c r="AH8" s="10">
        <v>-219106</v>
      </c>
      <c r="AI8" s="10">
        <v>-716805</v>
      </c>
      <c r="AJ8" s="10"/>
      <c r="AK8" s="10"/>
      <c r="AL8" s="10"/>
      <c r="AM8" s="10"/>
      <c r="AN8" s="10">
        <v>514428.35254701576</v>
      </c>
      <c r="AO8" s="10">
        <v>2522339.9191277279</v>
      </c>
      <c r="AP8" s="10">
        <v>-3702</v>
      </c>
      <c r="AQ8" s="10">
        <v>1882</v>
      </c>
      <c r="AR8" s="10">
        <v>36461</v>
      </c>
      <c r="AS8" s="10">
        <v>63367</v>
      </c>
      <c r="AT8" s="10">
        <v>1554957</v>
      </c>
      <c r="AU8" s="10">
        <v>4876653</v>
      </c>
      <c r="AV8" s="10"/>
      <c r="AW8" s="10"/>
      <c r="AX8" s="10">
        <v>-577687</v>
      </c>
      <c r="AY8" s="10">
        <v>-1729148</v>
      </c>
      <c r="AZ8" s="10">
        <v>2231344</v>
      </c>
      <c r="BA8" s="10">
        <v>4647687</v>
      </c>
      <c r="BB8" s="10">
        <v>50111</v>
      </c>
      <c r="BC8" s="10">
        <v>105572</v>
      </c>
      <c r="BD8" s="10"/>
      <c r="BE8" s="10"/>
      <c r="BF8" s="10">
        <v>2349147</v>
      </c>
      <c r="BG8" s="10">
        <v>6938599</v>
      </c>
      <c r="BH8" s="10">
        <v>5326016</v>
      </c>
      <c r="BI8" s="10">
        <v>15033395</v>
      </c>
      <c r="BJ8" s="10">
        <v>2359756</v>
      </c>
      <c r="BK8" s="10">
        <v>6414261</v>
      </c>
      <c r="BL8" s="108">
        <v>1519805</v>
      </c>
      <c r="BM8" s="108">
        <v>5547657</v>
      </c>
      <c r="BN8" s="10">
        <v>244486</v>
      </c>
      <c r="BO8" s="10">
        <v>1087215</v>
      </c>
      <c r="BP8" s="88">
        <f t="shared" si="0"/>
        <v>23600239.352547016</v>
      </c>
      <c r="BQ8" s="88">
        <f t="shared" si="1"/>
        <v>69993681.919127733</v>
      </c>
    </row>
    <row r="9" spans="1:69" x14ac:dyDescent="0.25">
      <c r="A9" s="10" t="s">
        <v>229</v>
      </c>
      <c r="B9" s="10">
        <v>2</v>
      </c>
      <c r="C9" s="10">
        <v>2</v>
      </c>
      <c r="D9" s="10"/>
      <c r="E9" s="10"/>
      <c r="F9" s="10"/>
      <c r="G9" s="10"/>
      <c r="H9" s="10">
        <v>692262</v>
      </c>
      <c r="I9" s="10">
        <v>1290940</v>
      </c>
      <c r="J9" s="10">
        <v>169652</v>
      </c>
      <c r="K9" s="10">
        <v>346441</v>
      </c>
      <c r="L9" s="10">
        <v>414180</v>
      </c>
      <c r="M9" s="10">
        <v>729008</v>
      </c>
      <c r="N9" s="10"/>
      <c r="O9" s="10"/>
      <c r="P9" s="10">
        <v>8480</v>
      </c>
      <c r="Q9" s="10">
        <v>13698</v>
      </c>
      <c r="R9" s="10">
        <v>253043</v>
      </c>
      <c r="S9" s="10">
        <v>752054</v>
      </c>
      <c r="T9" s="10">
        <v>79656</v>
      </c>
      <c r="U9" s="10">
        <v>260446</v>
      </c>
      <c r="V9" s="10">
        <v>722695</v>
      </c>
      <c r="W9" s="10">
        <v>1693914</v>
      </c>
      <c r="X9" s="10"/>
      <c r="Y9" s="10"/>
      <c r="Z9" s="10">
        <v>1329704</v>
      </c>
      <c r="AA9" s="10">
        <v>3527862</v>
      </c>
      <c r="AB9" s="10">
        <v>140451</v>
      </c>
      <c r="AC9" s="10">
        <v>442221</v>
      </c>
      <c r="AD9" s="10">
        <v>47682</v>
      </c>
      <c r="AE9" s="10">
        <v>67713</v>
      </c>
      <c r="AF9" s="10">
        <v>59424</v>
      </c>
      <c r="AG9" s="10">
        <v>75165</v>
      </c>
      <c r="AH9" s="10">
        <v>64500</v>
      </c>
      <c r="AI9" s="10">
        <v>130102</v>
      </c>
      <c r="AJ9" s="10"/>
      <c r="AK9" s="10"/>
      <c r="AL9" s="10"/>
      <c r="AM9" s="10"/>
      <c r="AN9" s="10">
        <v>2085336.872227648</v>
      </c>
      <c r="AO9" s="10">
        <v>5098740.9968167432</v>
      </c>
      <c r="AP9" s="10">
        <v>61976</v>
      </c>
      <c r="AQ9" s="10">
        <v>73906</v>
      </c>
      <c r="AR9" s="10">
        <v>10762</v>
      </c>
      <c r="AS9" s="10">
        <v>20714</v>
      </c>
      <c r="AT9" s="10">
        <v>571847</v>
      </c>
      <c r="AU9" s="10">
        <v>1654230</v>
      </c>
      <c r="AV9" s="10"/>
      <c r="AW9" s="10"/>
      <c r="AX9" s="10">
        <v>125962</v>
      </c>
      <c r="AY9" s="10">
        <v>297804</v>
      </c>
      <c r="AZ9" s="10">
        <v>926513</v>
      </c>
      <c r="BA9" s="10">
        <v>1804289</v>
      </c>
      <c r="BB9" s="10">
        <v>66796</v>
      </c>
      <c r="BC9" s="10">
        <v>109335</v>
      </c>
      <c r="BD9" s="10"/>
      <c r="BE9" s="10"/>
      <c r="BF9" s="10">
        <v>898186</v>
      </c>
      <c r="BG9" s="10">
        <v>1928582</v>
      </c>
      <c r="BH9" s="10">
        <v>6911950</v>
      </c>
      <c r="BI9" s="10">
        <v>16475315</v>
      </c>
      <c r="BJ9" s="10">
        <v>1729202</v>
      </c>
      <c r="BK9" s="10">
        <v>4565369</v>
      </c>
      <c r="BL9" s="108">
        <v>2488168</v>
      </c>
      <c r="BM9" s="108">
        <v>5084891</v>
      </c>
      <c r="BN9" s="10">
        <v>97713</v>
      </c>
      <c r="BO9" s="10">
        <v>268160</v>
      </c>
      <c r="BP9" s="88">
        <f t="shared" si="0"/>
        <v>19956142.872227646</v>
      </c>
      <c r="BQ9" s="88">
        <f t="shared" si="1"/>
        <v>46710901.996816739</v>
      </c>
    </row>
    <row r="10" spans="1:69" x14ac:dyDescent="0.25">
      <c r="A10" s="10" t="s">
        <v>230</v>
      </c>
      <c r="B10" s="10"/>
      <c r="C10" s="10"/>
      <c r="D10" s="10"/>
      <c r="E10" s="10"/>
      <c r="F10" s="10"/>
      <c r="G10" s="10"/>
      <c r="H10" s="10">
        <v>764457</v>
      </c>
      <c r="I10" s="10">
        <v>1354077</v>
      </c>
      <c r="J10" s="10">
        <v>147420</v>
      </c>
      <c r="K10" s="10">
        <v>186997</v>
      </c>
      <c r="L10" s="10">
        <v>292718</v>
      </c>
      <c r="M10" s="10">
        <v>569096</v>
      </c>
      <c r="N10" s="10"/>
      <c r="O10" s="10"/>
      <c r="P10" s="10">
        <v>5648</v>
      </c>
      <c r="Q10" s="10">
        <v>6742</v>
      </c>
      <c r="R10" s="10">
        <v>280595</v>
      </c>
      <c r="S10" s="10">
        <v>557294</v>
      </c>
      <c r="T10" s="10">
        <v>100482</v>
      </c>
      <c r="U10" s="10">
        <v>133876</v>
      </c>
      <c r="V10" s="10">
        <v>630171</v>
      </c>
      <c r="W10" s="10">
        <v>1076828</v>
      </c>
      <c r="X10" s="10"/>
      <c r="Y10" s="10"/>
      <c r="Z10" s="10">
        <v>1252181</v>
      </c>
      <c r="AA10" s="10">
        <v>2212916</v>
      </c>
      <c r="AB10" s="10">
        <v>188667</v>
      </c>
      <c r="AC10" s="10">
        <v>402158</v>
      </c>
      <c r="AD10" s="10">
        <v>21296</v>
      </c>
      <c r="AE10" s="10">
        <v>43172</v>
      </c>
      <c r="AF10" s="10">
        <v>54148</v>
      </c>
      <c r="AG10" s="10">
        <v>92358</v>
      </c>
      <c r="AH10" s="10">
        <v>33341</v>
      </c>
      <c r="AI10" s="10">
        <v>61889</v>
      </c>
      <c r="AJ10" s="10"/>
      <c r="AK10" s="10"/>
      <c r="AL10" s="10"/>
      <c r="AM10" s="10"/>
      <c r="AN10" s="10">
        <v>1906770.501227648</v>
      </c>
      <c r="AO10" s="10">
        <v>4722466.2938167434</v>
      </c>
      <c r="AP10" s="10">
        <v>16994</v>
      </c>
      <c r="AQ10" s="10">
        <v>34210</v>
      </c>
      <c r="AR10" s="10">
        <v>8123</v>
      </c>
      <c r="AS10" s="10">
        <v>12616</v>
      </c>
      <c r="AT10" s="10">
        <v>625026</v>
      </c>
      <c r="AU10" s="10">
        <v>1146444</v>
      </c>
      <c r="AV10" s="10"/>
      <c r="AW10" s="10"/>
      <c r="AX10" s="10">
        <v>155776</v>
      </c>
      <c r="AY10" s="10">
        <v>241776</v>
      </c>
      <c r="AZ10" s="10">
        <v>688805</v>
      </c>
      <c r="BA10" s="10">
        <v>1263962</v>
      </c>
      <c r="BB10" s="10">
        <v>48605</v>
      </c>
      <c r="BC10" s="10">
        <v>91879</v>
      </c>
      <c r="BD10" s="10"/>
      <c r="BE10" s="10"/>
      <c r="BF10" s="10">
        <v>587949</v>
      </c>
      <c r="BG10" s="10">
        <v>972916</v>
      </c>
      <c r="BH10" s="10">
        <v>7662827</v>
      </c>
      <c r="BI10" s="10">
        <v>14584735</v>
      </c>
      <c r="BJ10" s="10">
        <v>1746083</v>
      </c>
      <c r="BK10" s="10">
        <v>4291496</v>
      </c>
      <c r="BL10" s="108">
        <v>2408918</v>
      </c>
      <c r="BM10" s="108">
        <v>5329475</v>
      </c>
      <c r="BN10" s="10">
        <v>110545</v>
      </c>
      <c r="BO10" s="10">
        <v>259318</v>
      </c>
      <c r="BP10" s="88">
        <f t="shared" si="0"/>
        <v>19737545.501227647</v>
      </c>
      <c r="BQ10" s="88">
        <f t="shared" si="1"/>
        <v>39648696.293816745</v>
      </c>
    </row>
    <row r="12" spans="1:69" x14ac:dyDescent="0.25">
      <c r="A12" s="29" t="s">
        <v>217</v>
      </c>
    </row>
    <row r="13" spans="1:69" x14ac:dyDescent="0.25">
      <c r="A13" s="1" t="s">
        <v>0</v>
      </c>
      <c r="B13" s="116" t="s">
        <v>1</v>
      </c>
      <c r="C13" s="117"/>
      <c r="D13" s="116" t="s">
        <v>285</v>
      </c>
      <c r="E13" s="117"/>
      <c r="F13" s="116" t="s">
        <v>2</v>
      </c>
      <c r="G13" s="117"/>
      <c r="H13" s="116" t="s">
        <v>3</v>
      </c>
      <c r="I13" s="117"/>
      <c r="J13" s="116" t="s">
        <v>4</v>
      </c>
      <c r="K13" s="117"/>
      <c r="L13" s="116" t="s">
        <v>286</v>
      </c>
      <c r="M13" s="117"/>
      <c r="N13" s="116" t="s">
        <v>6</v>
      </c>
      <c r="O13" s="117"/>
      <c r="P13" s="116" t="s">
        <v>5</v>
      </c>
      <c r="Q13" s="117"/>
      <c r="R13" s="116" t="s">
        <v>7</v>
      </c>
      <c r="S13" s="117"/>
      <c r="T13" s="116" t="s">
        <v>287</v>
      </c>
      <c r="U13" s="117"/>
      <c r="V13" s="116" t="s">
        <v>8</v>
      </c>
      <c r="W13" s="117"/>
      <c r="X13" s="116" t="s">
        <v>288</v>
      </c>
      <c r="Y13" s="117"/>
      <c r="Z13" s="116" t="s">
        <v>9</v>
      </c>
      <c r="AA13" s="117"/>
      <c r="AB13" s="116" t="s">
        <v>10</v>
      </c>
      <c r="AC13" s="117"/>
      <c r="AD13" s="116" t="s">
        <v>289</v>
      </c>
      <c r="AE13" s="117"/>
      <c r="AF13" s="116" t="s">
        <v>11</v>
      </c>
      <c r="AG13" s="117"/>
      <c r="AH13" s="116" t="s">
        <v>12</v>
      </c>
      <c r="AI13" s="117"/>
      <c r="AJ13" s="116" t="s">
        <v>290</v>
      </c>
      <c r="AK13" s="117"/>
      <c r="AL13" s="116" t="s">
        <v>299</v>
      </c>
      <c r="AM13" s="117"/>
      <c r="AN13" s="116" t="s">
        <v>13</v>
      </c>
      <c r="AO13" s="117"/>
      <c r="AP13" s="116" t="s">
        <v>291</v>
      </c>
      <c r="AQ13" s="117"/>
      <c r="AR13" s="116" t="s">
        <v>292</v>
      </c>
      <c r="AS13" s="117"/>
      <c r="AT13" s="116" t="s">
        <v>307</v>
      </c>
      <c r="AU13" s="117"/>
      <c r="AV13" s="116" t="s">
        <v>293</v>
      </c>
      <c r="AW13" s="117"/>
      <c r="AX13" s="116" t="s">
        <v>14</v>
      </c>
      <c r="AY13" s="117"/>
      <c r="AZ13" s="116" t="s">
        <v>15</v>
      </c>
      <c r="BA13" s="117"/>
      <c r="BB13" s="116" t="s">
        <v>16</v>
      </c>
      <c r="BC13" s="117"/>
      <c r="BD13" s="116" t="s">
        <v>17</v>
      </c>
      <c r="BE13" s="117"/>
      <c r="BF13" s="116" t="s">
        <v>18</v>
      </c>
      <c r="BG13" s="117"/>
      <c r="BH13" s="116" t="s">
        <v>294</v>
      </c>
      <c r="BI13" s="117"/>
      <c r="BJ13" s="116" t="s">
        <v>295</v>
      </c>
      <c r="BK13" s="117"/>
      <c r="BL13" s="116" t="s">
        <v>19</v>
      </c>
      <c r="BM13" s="117"/>
      <c r="BN13" s="116" t="s">
        <v>20</v>
      </c>
      <c r="BO13" s="117"/>
      <c r="BP13" s="118" t="s">
        <v>21</v>
      </c>
      <c r="BQ13" s="119"/>
    </row>
    <row r="14" spans="1:69" ht="30" x14ac:dyDescent="0.25">
      <c r="A14" s="1"/>
      <c r="B14" s="67" t="s">
        <v>296</v>
      </c>
      <c r="C14" s="68" t="s">
        <v>297</v>
      </c>
      <c r="D14" s="67" t="s">
        <v>296</v>
      </c>
      <c r="E14" s="68" t="s">
        <v>297</v>
      </c>
      <c r="F14" s="67" t="s">
        <v>296</v>
      </c>
      <c r="G14" s="68" t="s">
        <v>297</v>
      </c>
      <c r="H14" s="67" t="s">
        <v>296</v>
      </c>
      <c r="I14" s="68" t="s">
        <v>297</v>
      </c>
      <c r="J14" s="67" t="s">
        <v>296</v>
      </c>
      <c r="K14" s="68" t="s">
        <v>297</v>
      </c>
      <c r="L14" s="67" t="s">
        <v>296</v>
      </c>
      <c r="M14" s="68" t="s">
        <v>297</v>
      </c>
      <c r="N14" s="67" t="s">
        <v>296</v>
      </c>
      <c r="O14" s="68" t="s">
        <v>297</v>
      </c>
      <c r="P14" s="67" t="s">
        <v>296</v>
      </c>
      <c r="Q14" s="68" t="s">
        <v>297</v>
      </c>
      <c r="R14" s="67" t="s">
        <v>296</v>
      </c>
      <c r="S14" s="68" t="s">
        <v>297</v>
      </c>
      <c r="T14" s="67" t="s">
        <v>296</v>
      </c>
      <c r="U14" s="68" t="s">
        <v>297</v>
      </c>
      <c r="V14" s="67" t="s">
        <v>296</v>
      </c>
      <c r="W14" s="68" t="s">
        <v>297</v>
      </c>
      <c r="X14" s="67" t="s">
        <v>296</v>
      </c>
      <c r="Y14" s="68" t="s">
        <v>297</v>
      </c>
      <c r="Z14" s="67" t="s">
        <v>296</v>
      </c>
      <c r="AA14" s="68" t="s">
        <v>297</v>
      </c>
      <c r="AB14" s="67" t="s">
        <v>296</v>
      </c>
      <c r="AC14" s="68" t="s">
        <v>297</v>
      </c>
      <c r="AD14" s="67" t="s">
        <v>296</v>
      </c>
      <c r="AE14" s="68" t="s">
        <v>297</v>
      </c>
      <c r="AF14" s="67" t="s">
        <v>296</v>
      </c>
      <c r="AG14" s="68" t="s">
        <v>297</v>
      </c>
      <c r="AH14" s="67" t="s">
        <v>296</v>
      </c>
      <c r="AI14" s="68" t="s">
        <v>297</v>
      </c>
      <c r="AJ14" s="67" t="s">
        <v>296</v>
      </c>
      <c r="AK14" s="68" t="s">
        <v>297</v>
      </c>
      <c r="AL14" s="67" t="s">
        <v>296</v>
      </c>
      <c r="AM14" s="68" t="s">
        <v>297</v>
      </c>
      <c r="AN14" s="67" t="s">
        <v>296</v>
      </c>
      <c r="AO14" s="68" t="s">
        <v>297</v>
      </c>
      <c r="AP14" s="67" t="s">
        <v>296</v>
      </c>
      <c r="AQ14" s="68" t="s">
        <v>297</v>
      </c>
      <c r="AR14" s="67" t="s">
        <v>296</v>
      </c>
      <c r="AS14" s="68" t="s">
        <v>297</v>
      </c>
      <c r="AT14" s="67" t="s">
        <v>296</v>
      </c>
      <c r="AU14" s="68" t="s">
        <v>297</v>
      </c>
      <c r="AV14" s="67" t="s">
        <v>296</v>
      </c>
      <c r="AW14" s="68" t="s">
        <v>297</v>
      </c>
      <c r="AX14" s="67" t="s">
        <v>296</v>
      </c>
      <c r="AY14" s="68" t="s">
        <v>297</v>
      </c>
      <c r="AZ14" s="67" t="s">
        <v>296</v>
      </c>
      <c r="BA14" s="68" t="s">
        <v>297</v>
      </c>
      <c r="BB14" s="67" t="s">
        <v>296</v>
      </c>
      <c r="BC14" s="68" t="s">
        <v>297</v>
      </c>
      <c r="BD14" s="67" t="s">
        <v>296</v>
      </c>
      <c r="BE14" s="68" t="s">
        <v>297</v>
      </c>
      <c r="BF14" s="67" t="s">
        <v>296</v>
      </c>
      <c r="BG14" s="68" t="s">
        <v>297</v>
      </c>
      <c r="BH14" s="67" t="s">
        <v>296</v>
      </c>
      <c r="BI14" s="68" t="s">
        <v>297</v>
      </c>
      <c r="BJ14" s="67" t="s">
        <v>296</v>
      </c>
      <c r="BK14" s="68" t="s">
        <v>297</v>
      </c>
      <c r="BL14" s="67" t="s">
        <v>296</v>
      </c>
      <c r="BM14" s="68" t="s">
        <v>297</v>
      </c>
      <c r="BN14" s="67" t="s">
        <v>296</v>
      </c>
      <c r="BO14" s="68" t="s">
        <v>297</v>
      </c>
      <c r="BP14" s="84" t="s">
        <v>280</v>
      </c>
      <c r="BQ14" s="85" t="s">
        <v>281</v>
      </c>
    </row>
    <row r="15" spans="1:69" x14ac:dyDescent="0.25">
      <c r="A15" s="10" t="s">
        <v>271</v>
      </c>
      <c r="B15" s="10"/>
      <c r="C15" s="10"/>
      <c r="D15" s="10"/>
      <c r="E15" s="10"/>
      <c r="F15" s="10"/>
      <c r="G15" s="10"/>
      <c r="H15" s="10">
        <v>339072</v>
      </c>
      <c r="I15" s="10">
        <v>899605</v>
      </c>
      <c r="J15" s="10">
        <v>162734</v>
      </c>
      <c r="K15" s="10">
        <v>368558</v>
      </c>
      <c r="L15" s="10">
        <v>183236</v>
      </c>
      <c r="M15" s="10">
        <v>346028</v>
      </c>
      <c r="N15" s="10"/>
      <c r="O15" s="10"/>
      <c r="P15" s="10">
        <v>7567</v>
      </c>
      <c r="Q15" s="10">
        <v>13076</v>
      </c>
      <c r="R15" s="10">
        <v>139224</v>
      </c>
      <c r="S15" s="10">
        <v>309073</v>
      </c>
      <c r="T15" s="10">
        <v>274</v>
      </c>
      <c r="U15" s="10">
        <v>10636</v>
      </c>
      <c r="V15" s="10">
        <f>26310+259780</f>
        <v>286090</v>
      </c>
      <c r="W15" s="10">
        <f>68109+640913</f>
        <v>709022</v>
      </c>
      <c r="X15" s="10"/>
      <c r="Y15" s="10"/>
      <c r="Z15" s="10">
        <v>840845</v>
      </c>
      <c r="AA15" s="10">
        <v>2223615</v>
      </c>
      <c r="AB15" s="10">
        <v>306674</v>
      </c>
      <c r="AC15" s="10">
        <v>726535</v>
      </c>
      <c r="AD15" s="10"/>
      <c r="AE15" s="10"/>
      <c r="AF15" s="10">
        <v>66951</v>
      </c>
      <c r="AG15" s="10">
        <v>137869</v>
      </c>
      <c r="AH15" s="10">
        <v>42648</v>
      </c>
      <c r="AI15" s="10">
        <v>93900</v>
      </c>
      <c r="AJ15" s="10"/>
      <c r="AK15" s="10"/>
      <c r="AL15" s="10"/>
      <c r="AM15" s="10"/>
      <c r="AN15" s="10">
        <v>459109.59519840794</v>
      </c>
      <c r="AO15" s="10">
        <v>940635.73292411992</v>
      </c>
      <c r="AP15" s="10"/>
      <c r="AQ15" s="10"/>
      <c r="AR15" s="10">
        <v>1968</v>
      </c>
      <c r="AS15" s="10">
        <v>2748</v>
      </c>
      <c r="AT15" s="10">
        <v>126692</v>
      </c>
      <c r="AU15" s="10">
        <v>490787</v>
      </c>
      <c r="AV15" s="10"/>
      <c r="AW15" s="10"/>
      <c r="AX15" s="10">
        <v>72013</v>
      </c>
      <c r="AY15" s="10">
        <v>174302</v>
      </c>
      <c r="AZ15" s="10">
        <v>72399</v>
      </c>
      <c r="BA15" s="10">
        <v>166522</v>
      </c>
      <c r="BB15" s="10">
        <v>3398</v>
      </c>
      <c r="BC15" s="10">
        <v>5599</v>
      </c>
      <c r="BD15" s="10"/>
      <c r="BE15" s="10"/>
      <c r="BF15" s="10">
        <v>794197</v>
      </c>
      <c r="BG15" s="10">
        <v>1639898</v>
      </c>
      <c r="BH15" s="10">
        <v>1523330</v>
      </c>
      <c r="BI15" s="10">
        <v>3446874</v>
      </c>
      <c r="BJ15" s="10">
        <v>937977</v>
      </c>
      <c r="BK15" s="10">
        <v>1860196</v>
      </c>
      <c r="BL15" s="108">
        <v>643967</v>
      </c>
      <c r="BM15" s="108">
        <v>1610842</v>
      </c>
      <c r="BN15" s="10">
        <f>65566+11085</f>
        <v>76651</v>
      </c>
      <c r="BO15" s="10">
        <f>110320+54586</f>
        <v>164906</v>
      </c>
      <c r="BP15" s="88">
        <f>SUM(B15+D15+F15+H15+J15+L15+N15+P15+R15+T15+V15+X15+Z15+AB15+AD15+AF15+AH15+AJ15+AL15+AN15+AP15+AR15+AT15+AV15+AX15+AZ15+BB15+BD15+BF15+BH15+BJ15+BL15+BN15)</f>
        <v>7087016.5951984078</v>
      </c>
      <c r="BQ15" s="88">
        <f>SUM(C15+E15+G15+I15+K15+M15+O15+Q15+S15+U15+W15+Y15+AA15+AC15+AE15+AG15+AI15+AK15+AM15+AO15+AQ15+AS15+AU15+AW15+AY15+BA15+BC15+BE15+BG15+BI15+BK15+BM15+BO15)</f>
        <v>16341226.732924119</v>
      </c>
    </row>
    <row r="16" spans="1:69" x14ac:dyDescent="0.25">
      <c r="A16" s="10" t="s">
        <v>274</v>
      </c>
      <c r="B16" s="10"/>
      <c r="C16" s="10"/>
      <c r="D16" s="10"/>
      <c r="E16" s="10"/>
      <c r="F16" s="10"/>
      <c r="G16" s="10"/>
      <c r="H16" s="10"/>
      <c r="I16" s="10"/>
      <c r="J16" s="10">
        <v>7972</v>
      </c>
      <c r="K16" s="10">
        <v>12065</v>
      </c>
      <c r="L16" s="10"/>
      <c r="M16" s="10"/>
      <c r="N16" s="10"/>
      <c r="O16" s="10"/>
      <c r="P16" s="10"/>
      <c r="Q16" s="10">
        <v>132</v>
      </c>
      <c r="R16" s="10">
        <v>816</v>
      </c>
      <c r="S16" s="10">
        <v>10699</v>
      </c>
      <c r="T16" s="10">
        <v>1886</v>
      </c>
      <c r="U16" s="10">
        <v>1954</v>
      </c>
      <c r="V16" s="10">
        <v>17926</v>
      </c>
      <c r="W16" s="10">
        <v>46812</v>
      </c>
      <c r="X16" s="10"/>
      <c r="Y16" s="10"/>
      <c r="Z16" s="10">
        <v>41589</v>
      </c>
      <c r="AA16" s="10">
        <v>100045</v>
      </c>
      <c r="AB16" s="10">
        <v>6025</v>
      </c>
      <c r="AC16" s="10">
        <v>6875</v>
      </c>
      <c r="AD16" s="10"/>
      <c r="AE16" s="10"/>
      <c r="AF16" s="10"/>
      <c r="AG16" s="10"/>
      <c r="AH16" s="10">
        <v>25622</v>
      </c>
      <c r="AI16" s="10">
        <v>25622</v>
      </c>
      <c r="AJ16" s="10"/>
      <c r="AK16" s="10"/>
      <c r="AL16" s="10"/>
      <c r="AM16" s="10"/>
      <c r="AN16" s="10">
        <v>10377.435689999998</v>
      </c>
      <c r="AO16" s="10">
        <v>66551.597479999997</v>
      </c>
      <c r="AP16" s="10"/>
      <c r="AQ16" s="10"/>
      <c r="AR16" s="10"/>
      <c r="AS16" s="10"/>
      <c r="AT16" s="10">
        <v>438</v>
      </c>
      <c r="AU16" s="10">
        <v>438</v>
      </c>
      <c r="AV16" s="10"/>
      <c r="AW16" s="10"/>
      <c r="AX16" s="10">
        <v>952</v>
      </c>
      <c r="AY16" s="10">
        <v>1301</v>
      </c>
      <c r="AZ16" s="10">
        <v>2015</v>
      </c>
      <c r="BA16" s="10">
        <v>3889</v>
      </c>
      <c r="BB16" s="10"/>
      <c r="BC16" s="10"/>
      <c r="BD16" s="10"/>
      <c r="BE16" s="10"/>
      <c r="BF16" s="10">
        <v>67773</v>
      </c>
      <c r="BG16" s="10">
        <v>234176</v>
      </c>
      <c r="BH16" s="10">
        <v>191544</v>
      </c>
      <c r="BI16" s="10">
        <v>254829</v>
      </c>
      <c r="BJ16" s="10">
        <v>14313</v>
      </c>
      <c r="BK16" s="10">
        <v>22918</v>
      </c>
      <c r="BL16" s="108">
        <v>25685</v>
      </c>
      <c r="BM16" s="108">
        <v>55907</v>
      </c>
      <c r="BN16" s="10"/>
      <c r="BO16" s="10"/>
      <c r="BP16" s="88">
        <f t="shared" ref="BP16:BP19" si="2">SUM(B16+D16+F16+H16+J16+L16+N16+P16+R16+T16+V16+X16+Z16+AB16+AD16+AF16+AH16+AJ16+AL16+AN16+AP16+AR16+AT16+AV16+AX16+AZ16+BB16+BD16+BF16+BH16+BJ16+BL16+BN16)</f>
        <v>414933.43569000001</v>
      </c>
      <c r="BQ16" s="88">
        <f t="shared" ref="BQ16:BQ19" si="3">SUM(C16+E16+G16+I16+K16+M16+O16+Q16+S16+U16+W16+Y16+AA16+AC16+AE16+AG16+AI16+AK16+AM16+AO16+AQ16+AS16+AU16+AW16+AY16+BA16+BC16+BE16+BG16+BI16+BK16+BM16+BO16)</f>
        <v>844213.59748</v>
      </c>
    </row>
    <row r="17" spans="1:69" x14ac:dyDescent="0.25">
      <c r="A17" s="10" t="s">
        <v>275</v>
      </c>
      <c r="B17" s="10"/>
      <c r="C17" s="10"/>
      <c r="D17" s="10"/>
      <c r="E17" s="10"/>
      <c r="F17" s="10"/>
      <c r="G17" s="10"/>
      <c r="H17" s="10">
        <v>131183</v>
      </c>
      <c r="I17" s="10">
        <v>331294</v>
      </c>
      <c r="J17" s="10">
        <v>61722</v>
      </c>
      <c r="K17" s="10">
        <v>135693</v>
      </c>
      <c r="L17" s="10">
        <v>116560</v>
      </c>
      <c r="M17" s="10">
        <v>218070</v>
      </c>
      <c r="N17" s="10"/>
      <c r="O17" s="10"/>
      <c r="P17" s="10">
        <v>7173</v>
      </c>
      <c r="Q17" s="10">
        <v>12625</v>
      </c>
      <c r="R17" s="10">
        <v>19536</v>
      </c>
      <c r="S17" s="10">
        <v>57469</v>
      </c>
      <c r="T17" s="10">
        <v>-5</v>
      </c>
      <c r="U17" s="10">
        <v>580</v>
      </c>
      <c r="V17" s="10">
        <f>-26188-126493</f>
        <v>-152681</v>
      </c>
      <c r="W17" s="10">
        <f>-67948-242002</f>
        <v>-309950</v>
      </c>
      <c r="X17" s="10"/>
      <c r="Y17" s="10"/>
      <c r="Z17" s="10">
        <v>354645</v>
      </c>
      <c r="AA17" s="10">
        <v>958014</v>
      </c>
      <c r="AB17" s="10">
        <v>123076</v>
      </c>
      <c r="AC17" s="10">
        <v>335128</v>
      </c>
      <c r="AD17" s="10"/>
      <c r="AE17" s="10"/>
      <c r="AF17" s="10">
        <v>3355</v>
      </c>
      <c r="AG17" s="10">
        <v>39280</v>
      </c>
      <c r="AH17" s="10">
        <v>-64341</v>
      </c>
      <c r="AI17" s="10">
        <v>-114145</v>
      </c>
      <c r="AJ17" s="10"/>
      <c r="AK17" s="10"/>
      <c r="AL17" s="10"/>
      <c r="AM17" s="10"/>
      <c r="AN17" s="10">
        <v>208608.60108962402</v>
      </c>
      <c r="AO17" s="10">
        <v>424245.65783149598</v>
      </c>
      <c r="AP17" s="10"/>
      <c r="AQ17" s="10"/>
      <c r="AR17" s="10">
        <v>496</v>
      </c>
      <c r="AS17" s="10">
        <v>692</v>
      </c>
      <c r="AT17" s="10">
        <v>106666</v>
      </c>
      <c r="AU17" s="10">
        <v>411527</v>
      </c>
      <c r="AV17" s="10"/>
      <c r="AW17" s="10"/>
      <c r="AX17" s="10">
        <v>-33336</v>
      </c>
      <c r="AY17" s="10">
        <v>-86129</v>
      </c>
      <c r="AZ17" s="10">
        <v>20441</v>
      </c>
      <c r="BA17" s="10">
        <v>45731</v>
      </c>
      <c r="BB17" s="10">
        <v>1087</v>
      </c>
      <c r="BC17" s="10">
        <v>1716</v>
      </c>
      <c r="BD17" s="10"/>
      <c r="BE17" s="10"/>
      <c r="BF17" s="10">
        <v>152177</v>
      </c>
      <c r="BG17" s="10">
        <v>297423</v>
      </c>
      <c r="BH17" s="10">
        <v>703340</v>
      </c>
      <c r="BI17" s="10">
        <v>1640665</v>
      </c>
      <c r="BJ17" s="10">
        <v>480234</v>
      </c>
      <c r="BK17" s="10">
        <v>912228</v>
      </c>
      <c r="BL17" s="108">
        <v>252696</v>
      </c>
      <c r="BM17" s="108">
        <v>740367</v>
      </c>
      <c r="BN17" s="10">
        <f>64587+9841</f>
        <v>74428</v>
      </c>
      <c r="BO17" s="10">
        <f>108567+40776</f>
        <v>149343</v>
      </c>
      <c r="BP17" s="88">
        <f t="shared" si="2"/>
        <v>2567060.6010896238</v>
      </c>
      <c r="BQ17" s="88">
        <f t="shared" si="3"/>
        <v>6201866.6578314956</v>
      </c>
    </row>
    <row r="18" spans="1:69" x14ac:dyDescent="0.25">
      <c r="A18" s="10" t="s">
        <v>229</v>
      </c>
      <c r="B18" s="10"/>
      <c r="C18" s="10"/>
      <c r="D18" s="10"/>
      <c r="E18" s="10"/>
      <c r="F18" s="10"/>
      <c r="G18" s="10"/>
      <c r="H18" s="10">
        <v>207889</v>
      </c>
      <c r="I18" s="10">
        <v>568311</v>
      </c>
      <c r="J18" s="10">
        <v>108984</v>
      </c>
      <c r="K18" s="10">
        <v>244930</v>
      </c>
      <c r="L18" s="10">
        <v>66676</v>
      </c>
      <c r="M18" s="10">
        <v>127958</v>
      </c>
      <c r="N18" s="10"/>
      <c r="O18" s="10"/>
      <c r="P18" s="10">
        <v>394</v>
      </c>
      <c r="Q18" s="10">
        <v>583</v>
      </c>
      <c r="R18" s="10">
        <v>120504</v>
      </c>
      <c r="S18" s="10">
        <v>262303</v>
      </c>
      <c r="T18" s="10">
        <v>2166</v>
      </c>
      <c r="U18" s="10">
        <v>12010</v>
      </c>
      <c r="V18" s="10">
        <f>123+151213</f>
        <v>151336</v>
      </c>
      <c r="W18" s="10">
        <f>161+445723</f>
        <v>445884</v>
      </c>
      <c r="X18" s="10"/>
      <c r="Y18" s="10"/>
      <c r="Z18" s="10">
        <v>527789</v>
      </c>
      <c r="AA18" s="10">
        <v>1365646</v>
      </c>
      <c r="AB18" s="10">
        <v>189623</v>
      </c>
      <c r="AC18" s="10">
        <v>398282</v>
      </c>
      <c r="AD18" s="10"/>
      <c r="AE18" s="10"/>
      <c r="AF18" s="10">
        <v>63596</v>
      </c>
      <c r="AG18" s="10">
        <v>98589</v>
      </c>
      <c r="AH18" s="10">
        <v>3929</v>
      </c>
      <c r="AI18" s="10">
        <v>5377</v>
      </c>
      <c r="AJ18" s="10"/>
      <c r="AK18" s="10"/>
      <c r="AL18" s="10"/>
      <c r="AM18" s="10"/>
      <c r="AN18" s="10">
        <v>260878.42979878391</v>
      </c>
      <c r="AO18" s="10">
        <v>582941.67257262394</v>
      </c>
      <c r="AP18" s="10"/>
      <c r="AQ18" s="10"/>
      <c r="AR18" s="10">
        <v>1472</v>
      </c>
      <c r="AS18" s="10">
        <v>2055</v>
      </c>
      <c r="AT18" s="10">
        <v>20464</v>
      </c>
      <c r="AU18" s="10">
        <v>79698</v>
      </c>
      <c r="AV18" s="10"/>
      <c r="AW18" s="10"/>
      <c r="AX18" s="10">
        <v>39629</v>
      </c>
      <c r="AY18" s="10">
        <v>89474</v>
      </c>
      <c r="AZ18" s="10">
        <v>53973</v>
      </c>
      <c r="BA18" s="10">
        <v>124680</v>
      </c>
      <c r="BB18" s="10">
        <v>2311</v>
      </c>
      <c r="BC18" s="10">
        <v>3883</v>
      </c>
      <c r="BD18" s="10"/>
      <c r="BE18" s="10"/>
      <c r="BF18" s="10">
        <v>709793</v>
      </c>
      <c r="BG18" s="10">
        <v>1576651</v>
      </c>
      <c r="BH18" s="10">
        <v>1011534</v>
      </c>
      <c r="BI18" s="10">
        <v>2061038</v>
      </c>
      <c r="BJ18" s="10">
        <v>472056</v>
      </c>
      <c r="BK18" s="10">
        <v>970886</v>
      </c>
      <c r="BL18" s="108">
        <v>416956</v>
      </c>
      <c r="BM18" s="108">
        <v>926382</v>
      </c>
      <c r="BN18" s="10">
        <f>979+1244</f>
        <v>2223</v>
      </c>
      <c r="BO18" s="10">
        <f>1753+13810</f>
        <v>15563</v>
      </c>
      <c r="BP18" s="88">
        <f t="shared" si="2"/>
        <v>4434175.4297987837</v>
      </c>
      <c r="BQ18" s="88">
        <f t="shared" si="3"/>
        <v>9963124.6725726239</v>
      </c>
    </row>
    <row r="19" spans="1:69" x14ac:dyDescent="0.25">
      <c r="A19" s="10" t="s">
        <v>230</v>
      </c>
      <c r="B19" s="10"/>
      <c r="C19" s="10"/>
      <c r="D19" s="10"/>
      <c r="E19" s="10"/>
      <c r="F19" s="10"/>
      <c r="G19" s="10"/>
      <c r="H19" s="10">
        <v>230293</v>
      </c>
      <c r="I19" s="10">
        <v>485412</v>
      </c>
      <c r="J19" s="10">
        <v>107908</v>
      </c>
      <c r="K19" s="10">
        <v>215290</v>
      </c>
      <c r="L19" s="10">
        <v>49022</v>
      </c>
      <c r="M19" s="10">
        <v>105661</v>
      </c>
      <c r="N19" s="10"/>
      <c r="O19" s="10"/>
      <c r="P19" s="10">
        <v>-242</v>
      </c>
      <c r="Q19" s="10">
        <v>215</v>
      </c>
      <c r="R19" s="10">
        <v>120329</v>
      </c>
      <c r="S19" s="10">
        <v>228602</v>
      </c>
      <c r="T19" s="10">
        <v>2668</v>
      </c>
      <c r="U19" s="10">
        <v>3777</v>
      </c>
      <c r="V19" s="10">
        <f>45+138622</f>
        <v>138667</v>
      </c>
      <c r="W19" s="10">
        <f>91+306370</f>
        <v>306461</v>
      </c>
      <c r="X19" s="10"/>
      <c r="Y19" s="10"/>
      <c r="Z19" s="10">
        <v>530911</v>
      </c>
      <c r="AA19" s="10">
        <v>1127780</v>
      </c>
      <c r="AB19" s="10">
        <v>181307</v>
      </c>
      <c r="AC19" s="10">
        <v>352106</v>
      </c>
      <c r="AD19" s="10"/>
      <c r="AE19" s="10"/>
      <c r="AF19" s="10">
        <v>42052</v>
      </c>
      <c r="AG19" s="10">
        <v>85433</v>
      </c>
      <c r="AH19" s="10">
        <v>2699</v>
      </c>
      <c r="AI19" s="10">
        <v>5314</v>
      </c>
      <c r="AJ19" s="10"/>
      <c r="AK19" s="10"/>
      <c r="AL19" s="10"/>
      <c r="AM19" s="10"/>
      <c r="AN19" s="10">
        <v>276146.50831878395</v>
      </c>
      <c r="AO19" s="10">
        <v>675603.84489262395</v>
      </c>
      <c r="AP19" s="10"/>
      <c r="AQ19" s="10"/>
      <c r="AR19" s="10">
        <v>803</v>
      </c>
      <c r="AS19" s="10">
        <v>888</v>
      </c>
      <c r="AT19" s="10">
        <v>76669</v>
      </c>
      <c r="AU19" s="10">
        <v>96246</v>
      </c>
      <c r="AV19" s="10"/>
      <c r="AW19" s="10"/>
      <c r="AX19" s="10">
        <v>45398</v>
      </c>
      <c r="AY19" s="10">
        <v>95081</v>
      </c>
      <c r="AZ19" s="10">
        <v>49176</v>
      </c>
      <c r="BA19" s="10">
        <v>91389</v>
      </c>
      <c r="BB19" s="10">
        <v>1844</v>
      </c>
      <c r="BC19" s="10">
        <v>3546</v>
      </c>
      <c r="BD19" s="10"/>
      <c r="BE19" s="10"/>
      <c r="BF19" s="10">
        <v>653057</v>
      </c>
      <c r="BG19" s="10">
        <v>1339175</v>
      </c>
      <c r="BH19" s="10">
        <v>1039661</v>
      </c>
      <c r="BI19" s="10">
        <v>1900056</v>
      </c>
      <c r="BJ19" s="10">
        <v>447349</v>
      </c>
      <c r="BK19" s="10">
        <v>1054474</v>
      </c>
      <c r="BL19" s="108">
        <v>599542</v>
      </c>
      <c r="BM19" s="108">
        <v>1157825</v>
      </c>
      <c r="BN19" s="10">
        <f>3937+1403</f>
        <v>5340</v>
      </c>
      <c r="BO19" s="10">
        <f>1679+16260</f>
        <v>17939</v>
      </c>
      <c r="BP19" s="88">
        <f t="shared" si="2"/>
        <v>4600599.5083187837</v>
      </c>
      <c r="BQ19" s="88">
        <f t="shared" si="3"/>
        <v>9348273.8448926248</v>
      </c>
    </row>
    <row r="21" spans="1:69" x14ac:dyDescent="0.25">
      <c r="A21" s="29" t="s">
        <v>218</v>
      </c>
    </row>
    <row r="22" spans="1:69" x14ac:dyDescent="0.25">
      <c r="A22" s="1" t="s">
        <v>0</v>
      </c>
      <c r="B22" s="116" t="s">
        <v>1</v>
      </c>
      <c r="C22" s="117"/>
      <c r="D22" s="116" t="s">
        <v>285</v>
      </c>
      <c r="E22" s="117"/>
      <c r="F22" s="116" t="s">
        <v>2</v>
      </c>
      <c r="G22" s="117"/>
      <c r="H22" s="116" t="s">
        <v>3</v>
      </c>
      <c r="I22" s="117"/>
      <c r="J22" s="116" t="s">
        <v>4</v>
      </c>
      <c r="K22" s="117"/>
      <c r="L22" s="116" t="s">
        <v>286</v>
      </c>
      <c r="M22" s="117"/>
      <c r="N22" s="116" t="s">
        <v>6</v>
      </c>
      <c r="O22" s="117"/>
      <c r="P22" s="116" t="s">
        <v>5</v>
      </c>
      <c r="Q22" s="117"/>
      <c r="R22" s="116" t="s">
        <v>7</v>
      </c>
      <c r="S22" s="117"/>
      <c r="T22" s="116" t="s">
        <v>287</v>
      </c>
      <c r="U22" s="117"/>
      <c r="V22" s="116" t="s">
        <v>8</v>
      </c>
      <c r="W22" s="117"/>
      <c r="X22" s="116" t="s">
        <v>288</v>
      </c>
      <c r="Y22" s="117"/>
      <c r="Z22" s="116" t="s">
        <v>9</v>
      </c>
      <c r="AA22" s="117"/>
      <c r="AB22" s="116" t="s">
        <v>10</v>
      </c>
      <c r="AC22" s="117"/>
      <c r="AD22" s="116" t="s">
        <v>289</v>
      </c>
      <c r="AE22" s="117"/>
      <c r="AF22" s="116" t="s">
        <v>11</v>
      </c>
      <c r="AG22" s="117"/>
      <c r="AH22" s="116" t="s">
        <v>12</v>
      </c>
      <c r="AI22" s="117"/>
      <c r="AJ22" s="116" t="s">
        <v>290</v>
      </c>
      <c r="AK22" s="117"/>
      <c r="AL22" s="116" t="s">
        <v>299</v>
      </c>
      <c r="AM22" s="117"/>
      <c r="AN22" s="116" t="s">
        <v>13</v>
      </c>
      <c r="AO22" s="117"/>
      <c r="AP22" s="116" t="s">
        <v>291</v>
      </c>
      <c r="AQ22" s="117"/>
      <c r="AR22" s="116" t="s">
        <v>292</v>
      </c>
      <c r="AS22" s="117"/>
      <c r="AT22" s="116" t="s">
        <v>307</v>
      </c>
      <c r="AU22" s="117"/>
      <c r="AV22" s="116" t="s">
        <v>293</v>
      </c>
      <c r="AW22" s="117"/>
      <c r="AX22" s="116" t="s">
        <v>14</v>
      </c>
      <c r="AY22" s="117"/>
      <c r="AZ22" s="116" t="s">
        <v>15</v>
      </c>
      <c r="BA22" s="117"/>
      <c r="BB22" s="116" t="s">
        <v>16</v>
      </c>
      <c r="BC22" s="117"/>
      <c r="BD22" s="116" t="s">
        <v>17</v>
      </c>
      <c r="BE22" s="117"/>
      <c r="BF22" s="116" t="s">
        <v>18</v>
      </c>
      <c r="BG22" s="117"/>
      <c r="BH22" s="116" t="s">
        <v>294</v>
      </c>
      <c r="BI22" s="117"/>
      <c r="BJ22" s="116" t="s">
        <v>295</v>
      </c>
      <c r="BK22" s="117"/>
      <c r="BL22" s="116" t="s">
        <v>19</v>
      </c>
      <c r="BM22" s="117"/>
      <c r="BN22" s="116" t="s">
        <v>20</v>
      </c>
      <c r="BO22" s="117"/>
      <c r="BP22" s="118" t="s">
        <v>21</v>
      </c>
      <c r="BQ22" s="119"/>
    </row>
    <row r="23" spans="1:69" ht="30" x14ac:dyDescent="0.25">
      <c r="A23" s="1"/>
      <c r="B23" s="67" t="s">
        <v>296</v>
      </c>
      <c r="C23" s="68" t="s">
        <v>297</v>
      </c>
      <c r="D23" s="67" t="s">
        <v>296</v>
      </c>
      <c r="E23" s="68" t="s">
        <v>297</v>
      </c>
      <c r="F23" s="67" t="s">
        <v>296</v>
      </c>
      <c r="G23" s="68" t="s">
        <v>297</v>
      </c>
      <c r="H23" s="67" t="s">
        <v>296</v>
      </c>
      <c r="I23" s="68" t="s">
        <v>297</v>
      </c>
      <c r="J23" s="67" t="s">
        <v>296</v>
      </c>
      <c r="K23" s="68" t="s">
        <v>297</v>
      </c>
      <c r="L23" s="67" t="s">
        <v>296</v>
      </c>
      <c r="M23" s="68" t="s">
        <v>297</v>
      </c>
      <c r="N23" s="67" t="s">
        <v>296</v>
      </c>
      <c r="O23" s="68" t="s">
        <v>297</v>
      </c>
      <c r="P23" s="67" t="s">
        <v>296</v>
      </c>
      <c r="Q23" s="68" t="s">
        <v>297</v>
      </c>
      <c r="R23" s="67" t="s">
        <v>296</v>
      </c>
      <c r="S23" s="68" t="s">
        <v>297</v>
      </c>
      <c r="T23" s="67" t="s">
        <v>296</v>
      </c>
      <c r="U23" s="68" t="s">
        <v>297</v>
      </c>
      <c r="V23" s="67" t="s">
        <v>296</v>
      </c>
      <c r="W23" s="68" t="s">
        <v>297</v>
      </c>
      <c r="X23" s="67" t="s">
        <v>296</v>
      </c>
      <c r="Y23" s="68" t="s">
        <v>297</v>
      </c>
      <c r="Z23" s="67" t="s">
        <v>296</v>
      </c>
      <c r="AA23" s="68" t="s">
        <v>297</v>
      </c>
      <c r="AB23" s="67" t="s">
        <v>296</v>
      </c>
      <c r="AC23" s="68" t="s">
        <v>297</v>
      </c>
      <c r="AD23" s="67" t="s">
        <v>296</v>
      </c>
      <c r="AE23" s="68" t="s">
        <v>297</v>
      </c>
      <c r="AF23" s="67" t="s">
        <v>296</v>
      </c>
      <c r="AG23" s="68" t="s">
        <v>297</v>
      </c>
      <c r="AH23" s="67" t="s">
        <v>296</v>
      </c>
      <c r="AI23" s="68" t="s">
        <v>297</v>
      </c>
      <c r="AJ23" s="67" t="s">
        <v>296</v>
      </c>
      <c r="AK23" s="68" t="s">
        <v>297</v>
      </c>
      <c r="AL23" s="67" t="s">
        <v>296</v>
      </c>
      <c r="AM23" s="68" t="s">
        <v>297</v>
      </c>
      <c r="AN23" s="67" t="s">
        <v>296</v>
      </c>
      <c r="AO23" s="68" t="s">
        <v>297</v>
      </c>
      <c r="AP23" s="67" t="s">
        <v>296</v>
      </c>
      <c r="AQ23" s="68" t="s">
        <v>297</v>
      </c>
      <c r="AR23" s="67" t="s">
        <v>296</v>
      </c>
      <c r="AS23" s="68" t="s">
        <v>297</v>
      </c>
      <c r="AT23" s="67" t="s">
        <v>296</v>
      </c>
      <c r="AU23" s="68" t="s">
        <v>297</v>
      </c>
      <c r="AV23" s="67" t="s">
        <v>296</v>
      </c>
      <c r="AW23" s="68" t="s">
        <v>297</v>
      </c>
      <c r="AX23" s="67" t="s">
        <v>296</v>
      </c>
      <c r="AY23" s="68" t="s">
        <v>297</v>
      </c>
      <c r="AZ23" s="67" t="s">
        <v>296</v>
      </c>
      <c r="BA23" s="68" t="s">
        <v>297</v>
      </c>
      <c r="BB23" s="67" t="s">
        <v>296</v>
      </c>
      <c r="BC23" s="68" t="s">
        <v>297</v>
      </c>
      <c r="BD23" s="67" t="s">
        <v>296</v>
      </c>
      <c r="BE23" s="68" t="s">
        <v>297</v>
      </c>
      <c r="BF23" s="67" t="s">
        <v>296</v>
      </c>
      <c r="BG23" s="68" t="s">
        <v>297</v>
      </c>
      <c r="BH23" s="67" t="s">
        <v>296</v>
      </c>
      <c r="BI23" s="68" t="s">
        <v>297</v>
      </c>
      <c r="BJ23" s="67" t="s">
        <v>296</v>
      </c>
      <c r="BK23" s="68" t="s">
        <v>297</v>
      </c>
      <c r="BL23" s="67" t="s">
        <v>296</v>
      </c>
      <c r="BM23" s="68" t="s">
        <v>297</v>
      </c>
      <c r="BN23" s="67" t="s">
        <v>296</v>
      </c>
      <c r="BO23" s="68" t="s">
        <v>297</v>
      </c>
      <c r="BP23" s="84" t="s">
        <v>280</v>
      </c>
      <c r="BQ23" s="85" t="s">
        <v>281</v>
      </c>
    </row>
    <row r="24" spans="1:69" x14ac:dyDescent="0.25">
      <c r="A24" s="10" t="s">
        <v>271</v>
      </c>
      <c r="B24" s="10">
        <v>586692</v>
      </c>
      <c r="C24" s="10">
        <v>962584</v>
      </c>
      <c r="D24" s="10"/>
      <c r="E24" s="10"/>
      <c r="F24" s="10"/>
      <c r="G24" s="10"/>
      <c r="H24" s="10">
        <v>11204112</v>
      </c>
      <c r="I24" s="10">
        <v>19297892</v>
      </c>
      <c r="J24" s="10">
        <v>2936805</v>
      </c>
      <c r="K24" s="10">
        <v>4949050</v>
      </c>
      <c r="L24" s="10">
        <v>7457684</v>
      </c>
      <c r="M24" s="10">
        <v>13148264</v>
      </c>
      <c r="N24" s="10"/>
      <c r="O24" s="10"/>
      <c r="P24" s="10">
        <v>222220</v>
      </c>
      <c r="Q24" s="10">
        <v>395651</v>
      </c>
      <c r="R24" s="10">
        <v>3049321</v>
      </c>
      <c r="S24" s="10">
        <v>5389492</v>
      </c>
      <c r="T24" s="10">
        <v>4263149</v>
      </c>
      <c r="U24" s="10">
        <v>7124199</v>
      </c>
      <c r="V24" s="10">
        <f>4464006+3530957</f>
        <v>7994963</v>
      </c>
      <c r="W24" s="10">
        <f>7425704+6129636</f>
        <v>13555340</v>
      </c>
      <c r="X24" s="10"/>
      <c r="Y24" s="10"/>
      <c r="Z24" s="10">
        <v>16041294</v>
      </c>
      <c r="AA24" s="10">
        <v>27515511</v>
      </c>
      <c r="AB24" s="10">
        <v>8804972</v>
      </c>
      <c r="AC24" s="10">
        <v>15320274</v>
      </c>
      <c r="AD24" s="10">
        <v>642766</v>
      </c>
      <c r="AE24" s="10">
        <v>1136098</v>
      </c>
      <c r="AF24" s="10">
        <f>1284157+927757</f>
        <v>2211914</v>
      </c>
      <c r="AG24" s="10">
        <f>2130607+1610249</f>
        <v>3740856</v>
      </c>
      <c r="AH24" s="10">
        <v>2356744</v>
      </c>
      <c r="AI24" s="10">
        <v>3945099</v>
      </c>
      <c r="AJ24" s="10"/>
      <c r="AK24" s="10"/>
      <c r="AL24" s="10"/>
      <c r="AM24" s="10"/>
      <c r="AN24" s="10">
        <v>11746323.827107102</v>
      </c>
      <c r="AO24" s="10">
        <v>21608837.527116429</v>
      </c>
      <c r="AP24" s="10">
        <v>141590</v>
      </c>
      <c r="AQ24" s="10">
        <v>215475</v>
      </c>
      <c r="AR24" s="10">
        <f>109009+233658</f>
        <v>342667</v>
      </c>
      <c r="AS24" s="10">
        <f>166376+353899</f>
        <v>520275</v>
      </c>
      <c r="AT24" s="10">
        <v>8323400</v>
      </c>
      <c r="AU24" s="10">
        <v>14391327</v>
      </c>
      <c r="AV24" s="10"/>
      <c r="AW24" s="10"/>
      <c r="AX24" s="10">
        <v>4479925</v>
      </c>
      <c r="AY24" s="10">
        <v>7928226</v>
      </c>
      <c r="AZ24" s="10">
        <v>4155045</v>
      </c>
      <c r="BA24" s="10">
        <v>6258511</v>
      </c>
      <c r="BB24" s="10">
        <v>5313369</v>
      </c>
      <c r="BC24" s="10">
        <v>9718083</v>
      </c>
      <c r="BD24" s="10"/>
      <c r="BE24" s="10"/>
      <c r="BF24" s="10">
        <v>10904869</v>
      </c>
      <c r="BG24" s="10">
        <v>18565183</v>
      </c>
      <c r="BH24" s="10">
        <v>25346785</v>
      </c>
      <c r="BI24" s="10">
        <v>46095425</v>
      </c>
      <c r="BJ24" s="10">
        <v>9162950</v>
      </c>
      <c r="BK24" s="10">
        <v>16401259</v>
      </c>
      <c r="BL24" s="108">
        <v>14119411</v>
      </c>
      <c r="BM24" s="108">
        <v>25708753</v>
      </c>
      <c r="BN24" s="10">
        <f>867616+1023650</f>
        <v>1891266</v>
      </c>
      <c r="BO24" s="10">
        <f>1661122+1905539</f>
        <v>3566661</v>
      </c>
      <c r="BP24" s="88">
        <f t="shared" ref="BP24:BP28" si="4">SUM(B24+D24+F24+H24+J24+L24+N24+P24+R24+T24+V24+X24+Z24+AB24+AD24+AF24+AH24+AJ24+AL24+AN24+AP24+AR24+AT24+AV24+AX24+AZ24+BB24+BD24+BF24+BH24+BJ24+BL24+BN24)</f>
        <v>163700236.8271071</v>
      </c>
      <c r="BQ24" s="88">
        <f t="shared" ref="BQ24:BQ28" si="5">SUM(C24+E24+G24+I24+K24+M24+O24+Q24+S24+U24+W24+Y24+AA24+AC24+AE24+AG24+AI24+AK24+AM24+AO24+AQ24+AS24+AU24+AW24+AY24+BA24+BC24+BE24+BG24+BI24+BK24+BM24+BO24)</f>
        <v>287458325.52711642</v>
      </c>
    </row>
    <row r="25" spans="1:69" x14ac:dyDescent="0.25">
      <c r="A25" s="10" t="s">
        <v>274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>
        <v>1070571</v>
      </c>
      <c r="U25" s="10">
        <v>1340328</v>
      </c>
      <c r="V25" s="10">
        <v>0</v>
      </c>
      <c r="W25" s="10">
        <v>0</v>
      </c>
      <c r="X25" s="10"/>
      <c r="Y25" s="10"/>
      <c r="Z25" s="10">
        <v>142276</v>
      </c>
      <c r="AA25" s="10">
        <v>158170</v>
      </c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>
        <v>8258.1629632880013</v>
      </c>
      <c r="AO25" s="10">
        <v>8845.7470532880016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>
        <v>29117</v>
      </c>
      <c r="BI25" s="10">
        <v>55911</v>
      </c>
      <c r="BJ25" s="10">
        <v>4019</v>
      </c>
      <c r="BK25" s="10">
        <v>4166</v>
      </c>
      <c r="BL25" s="10"/>
      <c r="BM25" s="10"/>
      <c r="BN25" s="10"/>
      <c r="BO25" s="10"/>
      <c r="BP25" s="88">
        <f t="shared" si="4"/>
        <v>1254241.1629632879</v>
      </c>
      <c r="BQ25" s="88">
        <f t="shared" si="5"/>
        <v>1567420.7470532879</v>
      </c>
    </row>
    <row r="26" spans="1:69" x14ac:dyDescent="0.25">
      <c r="A26" s="10" t="s">
        <v>275</v>
      </c>
      <c r="B26" s="10">
        <v>383518</v>
      </c>
      <c r="C26" s="10">
        <v>630409</v>
      </c>
      <c r="D26" s="10"/>
      <c r="E26" s="10"/>
      <c r="F26" s="10"/>
      <c r="G26" s="10"/>
      <c r="H26" s="10">
        <v>840199</v>
      </c>
      <c r="I26" s="10">
        <v>1917757</v>
      </c>
      <c r="J26" s="10">
        <v>164058</v>
      </c>
      <c r="K26" s="10">
        <v>332864</v>
      </c>
      <c r="L26" s="10">
        <v>1283795</v>
      </c>
      <c r="M26" s="10">
        <v>2220438</v>
      </c>
      <c r="N26" s="10"/>
      <c r="O26" s="10"/>
      <c r="P26" s="10">
        <v>16505</v>
      </c>
      <c r="Q26" s="10">
        <v>30570</v>
      </c>
      <c r="R26" s="10">
        <v>186056</v>
      </c>
      <c r="S26" s="10">
        <v>315518</v>
      </c>
      <c r="T26" s="10">
        <v>246138</v>
      </c>
      <c r="U26" s="10">
        <v>405508</v>
      </c>
      <c r="V26" s="10">
        <f>-2016130-185824</f>
        <v>-2201954</v>
      </c>
      <c r="W26" s="10">
        <f>-3395471-322140</f>
        <v>-3717611</v>
      </c>
      <c r="X26" s="10"/>
      <c r="Y26" s="10"/>
      <c r="Z26" s="10">
        <v>854359</v>
      </c>
      <c r="AA26" s="10">
        <v>1555700</v>
      </c>
      <c r="AB26" s="10">
        <v>1299857</v>
      </c>
      <c r="AC26" s="10">
        <v>2252163</v>
      </c>
      <c r="AD26" s="10">
        <v>36574</v>
      </c>
      <c r="AE26" s="10">
        <v>65640</v>
      </c>
      <c r="AF26" s="10">
        <f>64234+47050</f>
        <v>111284</v>
      </c>
      <c r="AG26" s="10">
        <f>138601+106780</f>
        <v>245381</v>
      </c>
      <c r="AH26" s="10">
        <v>-684934</v>
      </c>
      <c r="AI26" s="10">
        <v>-1102763</v>
      </c>
      <c r="AJ26" s="10"/>
      <c r="AK26" s="10"/>
      <c r="AL26" s="10"/>
      <c r="AM26" s="10"/>
      <c r="AN26" s="10">
        <v>725550.61473664001</v>
      </c>
      <c r="AO26" s="10">
        <v>1372782.701014736</v>
      </c>
      <c r="AP26" s="10">
        <v>-12448</v>
      </c>
      <c r="AQ26" s="10">
        <v>-23376</v>
      </c>
      <c r="AR26" s="10">
        <f>7771+15356</f>
        <v>23127</v>
      </c>
      <c r="AS26" s="10">
        <f>11813+23260</f>
        <v>35073</v>
      </c>
      <c r="AT26" s="10">
        <v>2628157</v>
      </c>
      <c r="AU26" s="10">
        <v>4434974</v>
      </c>
      <c r="AV26" s="10"/>
      <c r="AW26" s="10"/>
      <c r="AX26" s="10">
        <v>-746677</v>
      </c>
      <c r="AY26" s="10">
        <v>-1338939</v>
      </c>
      <c r="AZ26" s="10">
        <v>1939918</v>
      </c>
      <c r="BA26" s="10">
        <v>2741734</v>
      </c>
      <c r="BB26" s="10">
        <v>295265</v>
      </c>
      <c r="BC26" s="10">
        <v>537283</v>
      </c>
      <c r="BD26" s="10"/>
      <c r="BE26" s="10"/>
      <c r="BF26" s="10">
        <v>2028308</v>
      </c>
      <c r="BG26" s="10">
        <v>3513999</v>
      </c>
      <c r="BH26" s="10">
        <v>1422676</v>
      </c>
      <c r="BI26" s="10">
        <v>2727741</v>
      </c>
      <c r="BJ26" s="10">
        <v>462339</v>
      </c>
      <c r="BK26" s="10">
        <v>861435</v>
      </c>
      <c r="BL26" s="108">
        <v>726482</v>
      </c>
      <c r="BM26" s="108">
        <v>1326460</v>
      </c>
      <c r="BN26" s="10">
        <f>55939+58293</f>
        <v>114232</v>
      </c>
      <c r="BO26" s="10">
        <f>113715+109584</f>
        <v>223299</v>
      </c>
      <c r="BP26" s="88">
        <f t="shared" si="4"/>
        <v>12142384.614736639</v>
      </c>
      <c r="BQ26" s="88">
        <f t="shared" si="5"/>
        <v>21564039.701014735</v>
      </c>
    </row>
    <row r="27" spans="1:69" x14ac:dyDescent="0.25">
      <c r="A27" s="10" t="s">
        <v>229</v>
      </c>
      <c r="B27" s="10">
        <v>203174</v>
      </c>
      <c r="C27" s="10">
        <v>332175</v>
      </c>
      <c r="D27" s="10"/>
      <c r="E27" s="10"/>
      <c r="F27" s="10"/>
      <c r="G27" s="10"/>
      <c r="H27" s="10">
        <v>10363913</v>
      </c>
      <c r="I27" s="10">
        <v>17380135</v>
      </c>
      <c r="J27" s="10">
        <v>2772747</v>
      </c>
      <c r="K27" s="10">
        <v>4616186</v>
      </c>
      <c r="L27" s="10">
        <v>6173889</v>
      </c>
      <c r="M27" s="10">
        <v>10927826</v>
      </c>
      <c r="N27" s="10"/>
      <c r="O27" s="10"/>
      <c r="P27" s="10">
        <v>205715</v>
      </c>
      <c r="Q27" s="10">
        <v>365081</v>
      </c>
      <c r="R27" s="10">
        <v>2863265</v>
      </c>
      <c r="S27" s="10">
        <v>5073974</v>
      </c>
      <c r="T27" s="10">
        <v>5087583</v>
      </c>
      <c r="U27" s="10">
        <v>8059018</v>
      </c>
      <c r="V27" s="10">
        <f>2447876+3345134</f>
        <v>5793010</v>
      </c>
      <c r="W27" s="10">
        <f>4030233+5807496</f>
        <v>9837729</v>
      </c>
      <c r="X27" s="10"/>
      <c r="Y27" s="10"/>
      <c r="Z27" s="10">
        <v>15329211</v>
      </c>
      <c r="AA27" s="10">
        <v>26117981</v>
      </c>
      <c r="AB27" s="10">
        <v>7505115</v>
      </c>
      <c r="AC27" s="10">
        <v>13068111</v>
      </c>
      <c r="AD27" s="10">
        <v>606192</v>
      </c>
      <c r="AE27" s="10">
        <v>1070458</v>
      </c>
      <c r="AF27" s="10">
        <f>1219923+880707</f>
        <v>2100630</v>
      </c>
      <c r="AG27" s="10">
        <f>1992006+1503469</f>
        <v>3495475</v>
      </c>
      <c r="AH27" s="10">
        <v>1671810</v>
      </c>
      <c r="AI27" s="10">
        <v>2842336</v>
      </c>
      <c r="AJ27" s="10"/>
      <c r="AK27" s="10"/>
      <c r="AL27" s="10"/>
      <c r="AM27" s="10"/>
      <c r="AN27" s="10">
        <v>11029031.375333749</v>
      </c>
      <c r="AO27" s="10">
        <v>20244900.573154982</v>
      </c>
      <c r="AP27" s="10">
        <v>129142</v>
      </c>
      <c r="AQ27" s="10">
        <v>192099</v>
      </c>
      <c r="AR27" s="10">
        <f>101238+218302</f>
        <v>319540</v>
      </c>
      <c r="AS27" s="10">
        <f>154563+330639</f>
        <v>485202</v>
      </c>
      <c r="AT27" s="10">
        <v>5695243</v>
      </c>
      <c r="AU27" s="10">
        <v>9956353</v>
      </c>
      <c r="AV27" s="10"/>
      <c r="AW27" s="10"/>
      <c r="AX27" s="10">
        <v>3733248</v>
      </c>
      <c r="AY27" s="10">
        <v>6589287</v>
      </c>
      <c r="AZ27" s="10">
        <v>2215127</v>
      </c>
      <c r="BA27" s="10">
        <v>3516777</v>
      </c>
      <c r="BB27" s="10">
        <v>5018104</v>
      </c>
      <c r="BC27" s="10">
        <v>9180799</v>
      </c>
      <c r="BD27" s="10"/>
      <c r="BE27" s="10"/>
      <c r="BF27" s="10">
        <v>8876561</v>
      </c>
      <c r="BG27" s="10">
        <v>15051184</v>
      </c>
      <c r="BH27" s="10">
        <v>23953226</v>
      </c>
      <c r="BI27" s="10">
        <v>43423596</v>
      </c>
      <c r="BJ27" s="10">
        <v>8704630</v>
      </c>
      <c r="BK27" s="10">
        <v>15543990</v>
      </c>
      <c r="BL27" s="108">
        <v>13392929</v>
      </c>
      <c r="BM27" s="108">
        <v>24382293</v>
      </c>
      <c r="BN27" s="10">
        <f>811677+965357</f>
        <v>1777034</v>
      </c>
      <c r="BO27" s="10">
        <f>1547407+1795955</f>
        <v>3343362</v>
      </c>
      <c r="BP27" s="88">
        <f t="shared" si="4"/>
        <v>145520069.37533376</v>
      </c>
      <c r="BQ27" s="88">
        <f t="shared" si="5"/>
        <v>255096327.57315499</v>
      </c>
    </row>
    <row r="28" spans="1:69" x14ac:dyDescent="0.25">
      <c r="A28" s="10" t="s">
        <v>230</v>
      </c>
      <c r="B28" s="10">
        <v>187087</v>
      </c>
      <c r="C28" s="10">
        <v>364484</v>
      </c>
      <c r="D28" s="10"/>
      <c r="E28" s="10"/>
      <c r="F28" s="10"/>
      <c r="G28" s="10"/>
      <c r="H28" s="10">
        <v>10912645</v>
      </c>
      <c r="I28" s="10">
        <v>22460819</v>
      </c>
      <c r="J28" s="10">
        <v>3150726</v>
      </c>
      <c r="K28" s="10">
        <v>6357810</v>
      </c>
      <c r="L28" s="10">
        <v>6205930</v>
      </c>
      <c r="M28" s="10">
        <v>12652119</v>
      </c>
      <c r="N28" s="10"/>
      <c r="O28" s="10"/>
      <c r="P28" s="10">
        <v>227534</v>
      </c>
      <c r="Q28" s="10">
        <v>422809</v>
      </c>
      <c r="R28" s="10">
        <v>3025197</v>
      </c>
      <c r="S28" s="10">
        <v>6086164</v>
      </c>
      <c r="T28" s="10">
        <v>3892734</v>
      </c>
      <c r="U28" s="10">
        <v>7513557</v>
      </c>
      <c r="V28" s="10">
        <f>2937123+3029653</f>
        <v>5966776</v>
      </c>
      <c r="W28" s="10">
        <f>5876613+6017373</f>
        <v>11893986</v>
      </c>
      <c r="X28" s="10"/>
      <c r="Y28" s="10"/>
      <c r="Z28" s="10">
        <v>15097920</v>
      </c>
      <c r="AA28" s="10">
        <v>29621032</v>
      </c>
      <c r="AB28" s="10">
        <v>6968951</v>
      </c>
      <c r="AC28" s="10">
        <v>13816492</v>
      </c>
      <c r="AD28" s="10">
        <v>601033</v>
      </c>
      <c r="AE28" s="10">
        <v>1177965</v>
      </c>
      <c r="AF28" s="10">
        <f>1307297+994923</f>
        <v>2302220</v>
      </c>
      <c r="AG28" s="10">
        <f>2628436+1998637</f>
        <v>4627073</v>
      </c>
      <c r="AH28" s="10">
        <v>1738056</v>
      </c>
      <c r="AI28" s="10">
        <v>3490795</v>
      </c>
      <c r="AJ28" s="10"/>
      <c r="AK28" s="10"/>
      <c r="AL28" s="10"/>
      <c r="AM28" s="10"/>
      <c r="AN28" s="10">
        <v>10909722.432333749</v>
      </c>
      <c r="AO28" s="10">
        <v>20766422.275154982</v>
      </c>
      <c r="AP28" s="10">
        <v>162282</v>
      </c>
      <c r="AQ28" s="10">
        <v>309117</v>
      </c>
      <c r="AR28" s="10">
        <f>73298+197460</f>
        <v>270758</v>
      </c>
      <c r="AS28" s="10">
        <f>102256+410395</f>
        <v>512651</v>
      </c>
      <c r="AT28" s="10">
        <v>4788986</v>
      </c>
      <c r="AU28" s="10">
        <v>9632429</v>
      </c>
      <c r="AV28" s="10"/>
      <c r="AW28" s="10"/>
      <c r="AX28" s="10">
        <v>4021991</v>
      </c>
      <c r="AY28" s="10">
        <v>8198609</v>
      </c>
      <c r="AZ28" s="10">
        <v>2409242</v>
      </c>
      <c r="BA28" s="10">
        <v>4773583</v>
      </c>
      <c r="BB28" s="10">
        <v>5368358</v>
      </c>
      <c r="BC28" s="10">
        <v>10877381</v>
      </c>
      <c r="BD28" s="10"/>
      <c r="BE28" s="10"/>
      <c r="BF28" s="10">
        <v>7899854</v>
      </c>
      <c r="BG28" s="10">
        <v>15729510</v>
      </c>
      <c r="BH28" s="10">
        <v>24538293</v>
      </c>
      <c r="BI28" s="10">
        <v>48498369</v>
      </c>
      <c r="BJ28" s="10">
        <v>9411741</v>
      </c>
      <c r="BK28" s="10">
        <v>17604714</v>
      </c>
      <c r="BL28" s="108">
        <v>14538828</v>
      </c>
      <c r="BM28" s="108">
        <v>27574064</v>
      </c>
      <c r="BN28" s="10">
        <f>985055+1170601</f>
        <v>2155656</v>
      </c>
      <c r="BO28" s="10">
        <f>1902917+2293313</f>
        <v>4196230</v>
      </c>
      <c r="BP28" s="88">
        <f t="shared" si="4"/>
        <v>146752520.43233377</v>
      </c>
      <c r="BQ28" s="88">
        <f t="shared" si="5"/>
        <v>289158184.27515495</v>
      </c>
    </row>
    <row r="30" spans="1:69" x14ac:dyDescent="0.25">
      <c r="A30" s="29" t="s">
        <v>219</v>
      </c>
    </row>
    <row r="31" spans="1:69" x14ac:dyDescent="0.25">
      <c r="A31" s="1" t="s">
        <v>0</v>
      </c>
      <c r="B31" s="116" t="s">
        <v>1</v>
      </c>
      <c r="C31" s="117"/>
      <c r="D31" s="116" t="s">
        <v>285</v>
      </c>
      <c r="E31" s="117"/>
      <c r="F31" s="116" t="s">
        <v>2</v>
      </c>
      <c r="G31" s="117"/>
      <c r="H31" s="116" t="s">
        <v>3</v>
      </c>
      <c r="I31" s="117"/>
      <c r="J31" s="116" t="s">
        <v>4</v>
      </c>
      <c r="K31" s="117"/>
      <c r="L31" s="116" t="s">
        <v>286</v>
      </c>
      <c r="M31" s="117"/>
      <c r="N31" s="116" t="s">
        <v>6</v>
      </c>
      <c r="O31" s="117"/>
      <c r="P31" s="116" t="s">
        <v>5</v>
      </c>
      <c r="Q31" s="117"/>
      <c r="R31" s="116" t="s">
        <v>7</v>
      </c>
      <c r="S31" s="117"/>
      <c r="T31" s="116" t="s">
        <v>287</v>
      </c>
      <c r="U31" s="117"/>
      <c r="V31" s="116" t="s">
        <v>8</v>
      </c>
      <c r="W31" s="117"/>
      <c r="X31" s="116" t="s">
        <v>288</v>
      </c>
      <c r="Y31" s="117"/>
      <c r="Z31" s="116" t="s">
        <v>9</v>
      </c>
      <c r="AA31" s="117"/>
      <c r="AB31" s="116" t="s">
        <v>10</v>
      </c>
      <c r="AC31" s="117"/>
      <c r="AD31" s="116" t="s">
        <v>289</v>
      </c>
      <c r="AE31" s="117"/>
      <c r="AF31" s="116" t="s">
        <v>11</v>
      </c>
      <c r="AG31" s="117"/>
      <c r="AH31" s="116" t="s">
        <v>12</v>
      </c>
      <c r="AI31" s="117"/>
      <c r="AJ31" s="116" t="s">
        <v>290</v>
      </c>
      <c r="AK31" s="117"/>
      <c r="AL31" s="116" t="s">
        <v>299</v>
      </c>
      <c r="AM31" s="117"/>
      <c r="AN31" s="116" t="s">
        <v>13</v>
      </c>
      <c r="AO31" s="117"/>
      <c r="AP31" s="116" t="s">
        <v>291</v>
      </c>
      <c r="AQ31" s="117"/>
      <c r="AR31" s="116" t="s">
        <v>292</v>
      </c>
      <c r="AS31" s="117"/>
      <c r="AT31" s="116" t="s">
        <v>307</v>
      </c>
      <c r="AU31" s="117"/>
      <c r="AV31" s="116" t="s">
        <v>293</v>
      </c>
      <c r="AW31" s="117"/>
      <c r="AX31" s="116" t="s">
        <v>14</v>
      </c>
      <c r="AY31" s="117"/>
      <c r="AZ31" s="116" t="s">
        <v>15</v>
      </c>
      <c r="BA31" s="117"/>
      <c r="BB31" s="116" t="s">
        <v>16</v>
      </c>
      <c r="BC31" s="117"/>
      <c r="BD31" s="116" t="s">
        <v>17</v>
      </c>
      <c r="BE31" s="117"/>
      <c r="BF31" s="116" t="s">
        <v>18</v>
      </c>
      <c r="BG31" s="117"/>
      <c r="BH31" s="116" t="s">
        <v>294</v>
      </c>
      <c r="BI31" s="117"/>
      <c r="BJ31" s="116" t="s">
        <v>295</v>
      </c>
      <c r="BK31" s="117"/>
      <c r="BL31" s="116" t="s">
        <v>19</v>
      </c>
      <c r="BM31" s="117"/>
      <c r="BN31" s="116" t="s">
        <v>20</v>
      </c>
      <c r="BO31" s="117"/>
      <c r="BP31" s="118" t="s">
        <v>21</v>
      </c>
      <c r="BQ31" s="119"/>
    </row>
    <row r="32" spans="1:69" ht="30" x14ac:dyDescent="0.25">
      <c r="A32" s="1"/>
      <c r="B32" s="67" t="s">
        <v>296</v>
      </c>
      <c r="C32" s="68" t="s">
        <v>297</v>
      </c>
      <c r="D32" s="67" t="s">
        <v>296</v>
      </c>
      <c r="E32" s="68" t="s">
        <v>297</v>
      </c>
      <c r="F32" s="67" t="s">
        <v>296</v>
      </c>
      <c r="G32" s="68" t="s">
        <v>297</v>
      </c>
      <c r="H32" s="67" t="s">
        <v>296</v>
      </c>
      <c r="I32" s="68" t="s">
        <v>297</v>
      </c>
      <c r="J32" s="67" t="s">
        <v>296</v>
      </c>
      <c r="K32" s="68" t="s">
        <v>297</v>
      </c>
      <c r="L32" s="67" t="s">
        <v>296</v>
      </c>
      <c r="M32" s="68" t="s">
        <v>297</v>
      </c>
      <c r="N32" s="67" t="s">
        <v>296</v>
      </c>
      <c r="O32" s="68" t="s">
        <v>297</v>
      </c>
      <c r="P32" s="67" t="s">
        <v>296</v>
      </c>
      <c r="Q32" s="68" t="s">
        <v>297</v>
      </c>
      <c r="R32" s="67" t="s">
        <v>296</v>
      </c>
      <c r="S32" s="68" t="s">
        <v>297</v>
      </c>
      <c r="T32" s="67" t="s">
        <v>296</v>
      </c>
      <c r="U32" s="68" t="s">
        <v>297</v>
      </c>
      <c r="V32" s="67" t="s">
        <v>296</v>
      </c>
      <c r="W32" s="68" t="s">
        <v>297</v>
      </c>
      <c r="X32" s="67" t="s">
        <v>296</v>
      </c>
      <c r="Y32" s="68" t="s">
        <v>297</v>
      </c>
      <c r="Z32" s="67" t="s">
        <v>296</v>
      </c>
      <c r="AA32" s="68" t="s">
        <v>297</v>
      </c>
      <c r="AB32" s="67" t="s">
        <v>296</v>
      </c>
      <c r="AC32" s="68" t="s">
        <v>297</v>
      </c>
      <c r="AD32" s="67" t="s">
        <v>296</v>
      </c>
      <c r="AE32" s="68" t="s">
        <v>297</v>
      </c>
      <c r="AF32" s="67" t="s">
        <v>296</v>
      </c>
      <c r="AG32" s="68" t="s">
        <v>297</v>
      </c>
      <c r="AH32" s="67" t="s">
        <v>296</v>
      </c>
      <c r="AI32" s="68" t="s">
        <v>297</v>
      </c>
      <c r="AJ32" s="67" t="s">
        <v>296</v>
      </c>
      <c r="AK32" s="68" t="s">
        <v>297</v>
      </c>
      <c r="AL32" s="67" t="s">
        <v>296</v>
      </c>
      <c r="AM32" s="68" t="s">
        <v>297</v>
      </c>
      <c r="AN32" s="67" t="s">
        <v>296</v>
      </c>
      <c r="AO32" s="68" t="s">
        <v>297</v>
      </c>
      <c r="AP32" s="67" t="s">
        <v>296</v>
      </c>
      <c r="AQ32" s="68" t="s">
        <v>297</v>
      </c>
      <c r="AR32" s="67" t="s">
        <v>296</v>
      </c>
      <c r="AS32" s="68" t="s">
        <v>297</v>
      </c>
      <c r="AT32" s="67" t="s">
        <v>296</v>
      </c>
      <c r="AU32" s="68" t="s">
        <v>297</v>
      </c>
      <c r="AV32" s="67" t="s">
        <v>296</v>
      </c>
      <c r="AW32" s="68" t="s">
        <v>297</v>
      </c>
      <c r="AX32" s="67" t="s">
        <v>296</v>
      </c>
      <c r="AY32" s="68" t="s">
        <v>297</v>
      </c>
      <c r="AZ32" s="67" t="s">
        <v>296</v>
      </c>
      <c r="BA32" s="68" t="s">
        <v>297</v>
      </c>
      <c r="BB32" s="67" t="s">
        <v>296</v>
      </c>
      <c r="BC32" s="68" t="s">
        <v>297</v>
      </c>
      <c r="BD32" s="67" t="s">
        <v>296</v>
      </c>
      <c r="BE32" s="68" t="s">
        <v>297</v>
      </c>
      <c r="BF32" s="67" t="s">
        <v>296</v>
      </c>
      <c r="BG32" s="68" t="s">
        <v>297</v>
      </c>
      <c r="BH32" s="67" t="s">
        <v>296</v>
      </c>
      <c r="BI32" s="68" t="s">
        <v>297</v>
      </c>
      <c r="BJ32" s="67" t="s">
        <v>296</v>
      </c>
      <c r="BK32" s="68" t="s">
        <v>297</v>
      </c>
      <c r="BL32" s="67" t="s">
        <v>296</v>
      </c>
      <c r="BM32" s="68" t="s">
        <v>297</v>
      </c>
      <c r="BN32" s="67" t="s">
        <v>296</v>
      </c>
      <c r="BO32" s="68" t="s">
        <v>297</v>
      </c>
      <c r="BP32" s="84" t="s">
        <v>280</v>
      </c>
      <c r="BQ32" s="85" t="s">
        <v>281</v>
      </c>
    </row>
    <row r="33" spans="1:69" x14ac:dyDescent="0.25">
      <c r="A33" s="10" t="s">
        <v>271</v>
      </c>
      <c r="B33" s="10"/>
      <c r="C33" s="10"/>
      <c r="D33" s="10"/>
      <c r="E33" s="10"/>
      <c r="F33" s="10"/>
      <c r="G33" s="10"/>
      <c r="H33" s="10">
        <v>631641</v>
      </c>
      <c r="I33" s="10">
        <v>1172402</v>
      </c>
      <c r="J33" s="10">
        <v>98860</v>
      </c>
      <c r="K33" s="10">
        <v>195620</v>
      </c>
      <c r="L33" s="10">
        <v>81259</v>
      </c>
      <c r="M33" s="10">
        <v>152856</v>
      </c>
      <c r="N33" s="10"/>
      <c r="O33" s="10"/>
      <c r="P33" s="10">
        <v>1131</v>
      </c>
      <c r="Q33" s="10">
        <v>1383</v>
      </c>
      <c r="R33" s="10">
        <v>121222</v>
      </c>
      <c r="S33" s="10">
        <v>215296</v>
      </c>
      <c r="T33" s="10">
        <v>25379</v>
      </c>
      <c r="U33" s="10">
        <v>36448</v>
      </c>
      <c r="V33" s="10">
        <v>484063</v>
      </c>
      <c r="W33" s="10">
        <v>858156</v>
      </c>
      <c r="X33" s="10"/>
      <c r="Y33" s="10"/>
      <c r="Z33" s="10">
        <v>859532</v>
      </c>
      <c r="AA33" s="10">
        <v>1804742</v>
      </c>
      <c r="AB33" s="10">
        <v>243879</v>
      </c>
      <c r="AC33" s="10">
        <v>453706</v>
      </c>
      <c r="AD33" s="10">
        <v>1555</v>
      </c>
      <c r="AE33" s="10">
        <v>2717</v>
      </c>
      <c r="AF33" s="10">
        <v>88814</v>
      </c>
      <c r="AG33" s="10">
        <v>153029</v>
      </c>
      <c r="AH33" s="10">
        <v>19847</v>
      </c>
      <c r="AI33" s="10">
        <v>31772</v>
      </c>
      <c r="AJ33" s="10"/>
      <c r="AK33" s="10"/>
      <c r="AL33" s="10"/>
      <c r="AM33" s="10"/>
      <c r="AN33" s="10">
        <v>546513.60222480795</v>
      </c>
      <c r="AO33" s="10">
        <v>1196160.121104928</v>
      </c>
      <c r="AP33" s="10"/>
      <c r="AQ33" s="10"/>
      <c r="AR33" s="10">
        <v>1466</v>
      </c>
      <c r="AS33" s="10">
        <v>3006</v>
      </c>
      <c r="AT33" s="10">
        <v>465010</v>
      </c>
      <c r="AU33" s="10">
        <v>801085</v>
      </c>
      <c r="AV33" s="10"/>
      <c r="AW33" s="10"/>
      <c r="AX33" s="10">
        <v>121200</v>
      </c>
      <c r="AY33" s="10">
        <v>253008</v>
      </c>
      <c r="AZ33" s="10">
        <v>109749</v>
      </c>
      <c r="BA33" s="10">
        <v>200398</v>
      </c>
      <c r="BB33" s="10">
        <v>40551</v>
      </c>
      <c r="BC33" s="10">
        <v>66134</v>
      </c>
      <c r="BD33" s="10"/>
      <c r="BE33" s="10"/>
      <c r="BF33" s="10">
        <v>165205</v>
      </c>
      <c r="BG33" s="10">
        <v>328852</v>
      </c>
      <c r="BH33" s="10">
        <v>1705715</v>
      </c>
      <c r="BI33" s="10">
        <v>3200282</v>
      </c>
      <c r="BJ33" s="10">
        <v>533822</v>
      </c>
      <c r="BK33" s="10">
        <v>1132094</v>
      </c>
      <c r="BL33" s="108">
        <v>922113</v>
      </c>
      <c r="BM33" s="108">
        <v>1931868</v>
      </c>
      <c r="BN33" s="10">
        <v>23374</v>
      </c>
      <c r="BO33" s="10">
        <v>49987</v>
      </c>
      <c r="BP33" s="88">
        <f t="shared" ref="BP33:BP37" si="6">SUM(B33+D33+F33+H33+J33+L33+N33+P33+R33+T33+V33+X33+Z33+AB33+AD33+AF33+AH33+AJ33+AL33+AN33+AP33+AR33+AT33+AV33+AX33+AZ33+BB33+BD33+BF33+BH33+BJ33+BL33+BN33)</f>
        <v>7291900.6022248082</v>
      </c>
      <c r="BQ33" s="88">
        <f t="shared" ref="BQ33:BQ37" si="7">SUM(C33+E33+G33+I33+K33+M33+O33+Q33+S33+U33+W33+Y33+AA33+AC33+AE33+AG33+AI33+AK33+AM33+AO33+AQ33+AS33+AU33+AW33+AY33+BA33+BC33+BE33+BG33+BI33+BK33+BM33+BO33)</f>
        <v>14241001.121104928</v>
      </c>
    </row>
    <row r="34" spans="1:69" x14ac:dyDescent="0.25">
      <c r="A34" s="10" t="s">
        <v>274</v>
      </c>
      <c r="B34" s="10"/>
      <c r="C34" s="10"/>
      <c r="D34" s="10"/>
      <c r="E34" s="10"/>
      <c r="F34" s="10"/>
      <c r="G34" s="10"/>
      <c r="H34" s="10">
        <v>10499</v>
      </c>
      <c r="I34" s="10">
        <v>22107</v>
      </c>
      <c r="J34" s="10">
        <v>1350</v>
      </c>
      <c r="K34" s="10">
        <v>8861</v>
      </c>
      <c r="L34" s="10">
        <v>3281</v>
      </c>
      <c r="M34" s="10">
        <v>7639</v>
      </c>
      <c r="N34" s="10"/>
      <c r="O34" s="10"/>
      <c r="P34" s="10">
        <v>1014</v>
      </c>
      <c r="Q34" s="10">
        <v>2106</v>
      </c>
      <c r="R34" s="10">
        <v>10104</v>
      </c>
      <c r="S34" s="10">
        <v>17659</v>
      </c>
      <c r="T34" s="10">
        <v>2946</v>
      </c>
      <c r="U34" s="10">
        <v>11313</v>
      </c>
      <c r="V34" s="10">
        <v>22261</v>
      </c>
      <c r="W34" s="10">
        <v>57772</v>
      </c>
      <c r="X34" s="10"/>
      <c r="Y34" s="10"/>
      <c r="Z34" s="10">
        <v>58905</v>
      </c>
      <c r="AA34" s="10">
        <v>134414</v>
      </c>
      <c r="AB34" s="10">
        <v>20968</v>
      </c>
      <c r="AC34" s="10">
        <v>21236</v>
      </c>
      <c r="AD34" s="10">
        <v>1014</v>
      </c>
      <c r="AE34" s="10">
        <v>2106</v>
      </c>
      <c r="AF34" s="10">
        <v>2280</v>
      </c>
      <c r="AG34" s="10">
        <v>5133</v>
      </c>
      <c r="AH34" s="10">
        <v>2499</v>
      </c>
      <c r="AI34" s="10">
        <v>7042</v>
      </c>
      <c r="AJ34" s="10"/>
      <c r="AK34" s="10"/>
      <c r="AL34" s="10"/>
      <c r="AM34" s="10"/>
      <c r="AN34" s="10">
        <v>63707.413253024002</v>
      </c>
      <c r="AO34" s="10">
        <v>130865.53122302399</v>
      </c>
      <c r="AP34" s="10">
        <v>203</v>
      </c>
      <c r="AQ34" s="10">
        <v>421</v>
      </c>
      <c r="AR34" s="10">
        <v>356</v>
      </c>
      <c r="AS34" s="10">
        <v>356</v>
      </c>
      <c r="AT34" s="10">
        <v>6717</v>
      </c>
      <c r="AU34" s="10">
        <v>10651</v>
      </c>
      <c r="AV34" s="10"/>
      <c r="AW34" s="10"/>
      <c r="AX34" s="10">
        <v>9745</v>
      </c>
      <c r="AY34" s="10">
        <v>14765</v>
      </c>
      <c r="AZ34" s="10">
        <v>1583</v>
      </c>
      <c r="BA34" s="10">
        <v>3289</v>
      </c>
      <c r="BB34" s="10">
        <v>1712</v>
      </c>
      <c r="BC34" s="10">
        <v>4829</v>
      </c>
      <c r="BD34" s="10"/>
      <c r="BE34" s="10"/>
      <c r="BF34" s="10">
        <v>8626</v>
      </c>
      <c r="BG34" s="10">
        <v>39667</v>
      </c>
      <c r="BH34" s="10">
        <v>118013</v>
      </c>
      <c r="BI34" s="10">
        <v>210636</v>
      </c>
      <c r="BJ34" s="10">
        <v>116154</v>
      </c>
      <c r="BK34" s="10">
        <v>116847</v>
      </c>
      <c r="BL34" s="108">
        <v>19733</v>
      </c>
      <c r="BM34" s="108">
        <v>73415</v>
      </c>
      <c r="BN34" s="10">
        <v>893</v>
      </c>
      <c r="BO34" s="10">
        <v>2106</v>
      </c>
      <c r="BP34" s="88">
        <f t="shared" si="6"/>
        <v>484563.41325302399</v>
      </c>
      <c r="BQ34" s="88">
        <f t="shared" si="7"/>
        <v>905235.53122302401</v>
      </c>
    </row>
    <row r="35" spans="1:69" x14ac:dyDescent="0.25">
      <c r="A35" s="10" t="s">
        <v>275</v>
      </c>
      <c r="B35" s="10"/>
      <c r="C35" s="10"/>
      <c r="D35" s="10"/>
      <c r="E35" s="10"/>
      <c r="F35" s="10"/>
      <c r="G35" s="10"/>
      <c r="H35" s="10">
        <v>581548</v>
      </c>
      <c r="I35" s="10">
        <v>1072813</v>
      </c>
      <c r="J35" s="10">
        <v>76573</v>
      </c>
      <c r="K35" s="10">
        <v>167268</v>
      </c>
      <c r="L35" s="10">
        <v>56516</v>
      </c>
      <c r="M35" s="10">
        <v>97493</v>
      </c>
      <c r="N35" s="10"/>
      <c r="O35" s="10"/>
      <c r="P35" s="10">
        <v>1085</v>
      </c>
      <c r="Q35" s="10">
        <v>1418</v>
      </c>
      <c r="R35" s="10">
        <v>110327</v>
      </c>
      <c r="S35" s="10">
        <v>194906</v>
      </c>
      <c r="T35" s="10">
        <v>20042</v>
      </c>
      <c r="U35" s="10">
        <v>36819</v>
      </c>
      <c r="V35" s="10">
        <v>-358155</v>
      </c>
      <c r="W35" s="10">
        <v>-621002</v>
      </c>
      <c r="X35" s="10"/>
      <c r="Y35" s="10"/>
      <c r="Z35" s="10">
        <v>568987</v>
      </c>
      <c r="AA35" s="10">
        <v>1299685</v>
      </c>
      <c r="AB35" s="10">
        <v>218913</v>
      </c>
      <c r="AC35" s="10">
        <v>393077</v>
      </c>
      <c r="AD35" s="10">
        <v>1365</v>
      </c>
      <c r="AE35" s="10">
        <v>2413</v>
      </c>
      <c r="AF35" s="10">
        <v>62933</v>
      </c>
      <c r="AG35" s="10">
        <v>156401</v>
      </c>
      <c r="AH35" s="10">
        <v>-18099</v>
      </c>
      <c r="AI35" s="10">
        <v>-31256</v>
      </c>
      <c r="AJ35" s="10"/>
      <c r="AK35" s="10"/>
      <c r="AL35" s="10"/>
      <c r="AM35" s="10"/>
      <c r="AN35" s="10">
        <v>182838.46492064002</v>
      </c>
      <c r="AO35" s="10">
        <v>416495.38158303202</v>
      </c>
      <c r="AP35" s="10">
        <v>-4</v>
      </c>
      <c r="AQ35" s="10">
        <v>-24</v>
      </c>
      <c r="AR35" s="10">
        <v>1318</v>
      </c>
      <c r="AS35" s="10">
        <v>2610</v>
      </c>
      <c r="AT35" s="10">
        <v>376298</v>
      </c>
      <c r="AU35" s="10">
        <v>639915</v>
      </c>
      <c r="AV35" s="10"/>
      <c r="AW35" s="10"/>
      <c r="AX35" s="10">
        <v>-105148</v>
      </c>
      <c r="AY35" s="10">
        <v>-217838</v>
      </c>
      <c r="AZ35" s="10">
        <v>72099</v>
      </c>
      <c r="BA35" s="10">
        <v>134163</v>
      </c>
      <c r="BB35" s="10">
        <v>21805</v>
      </c>
      <c r="BC35" s="10">
        <v>34174</v>
      </c>
      <c r="BD35" s="10"/>
      <c r="BE35" s="10"/>
      <c r="BF35" s="10">
        <v>177039</v>
      </c>
      <c r="BG35" s="10">
        <v>351637</v>
      </c>
      <c r="BH35" s="10">
        <v>873431</v>
      </c>
      <c r="BI35" s="10">
        <v>1648206</v>
      </c>
      <c r="BJ35" s="10">
        <v>197877</v>
      </c>
      <c r="BK35" s="10">
        <v>421317</v>
      </c>
      <c r="BL35" s="108">
        <v>440275</v>
      </c>
      <c r="BM35" s="108">
        <v>1004818</v>
      </c>
      <c r="BN35" s="10">
        <v>6384</v>
      </c>
      <c r="BO35" s="10">
        <v>30175</v>
      </c>
      <c r="BP35" s="88">
        <f t="shared" si="6"/>
        <v>3566247.46492064</v>
      </c>
      <c r="BQ35" s="88">
        <f t="shared" si="7"/>
        <v>7235683.3815830322</v>
      </c>
    </row>
    <row r="36" spans="1:69" x14ac:dyDescent="0.25">
      <c r="A36" s="10" t="s">
        <v>229</v>
      </c>
      <c r="B36" s="10"/>
      <c r="C36" s="10"/>
      <c r="D36" s="10"/>
      <c r="E36" s="10"/>
      <c r="F36" s="10"/>
      <c r="G36" s="10"/>
      <c r="H36" s="10">
        <v>60592</v>
      </c>
      <c r="I36" s="10">
        <v>121696</v>
      </c>
      <c r="J36" s="10">
        <v>23637</v>
      </c>
      <c r="K36" s="10">
        <v>37213</v>
      </c>
      <c r="L36" s="10">
        <v>28024</v>
      </c>
      <c r="M36" s="10">
        <v>63002</v>
      </c>
      <c r="N36" s="10"/>
      <c r="O36" s="10"/>
      <c r="P36" s="10">
        <v>1060</v>
      </c>
      <c r="Q36" s="10">
        <v>2071</v>
      </c>
      <c r="R36" s="10">
        <v>20999</v>
      </c>
      <c r="S36" s="10">
        <v>38049</v>
      </c>
      <c r="T36" s="10">
        <v>8283</v>
      </c>
      <c r="U36" s="10">
        <v>10942</v>
      </c>
      <c r="V36" s="10">
        <v>148169</v>
      </c>
      <c r="W36" s="10">
        <v>294926</v>
      </c>
      <c r="X36" s="10"/>
      <c r="Y36" s="10"/>
      <c r="Z36" s="10">
        <v>349450</v>
      </c>
      <c r="AA36" s="10">
        <v>639471</v>
      </c>
      <c r="AB36" s="10">
        <v>45934</v>
      </c>
      <c r="AC36" s="10">
        <v>81865</v>
      </c>
      <c r="AD36" s="10">
        <v>1204</v>
      </c>
      <c r="AE36" s="10">
        <v>2410</v>
      </c>
      <c r="AF36" s="10">
        <v>28161</v>
      </c>
      <c r="AG36" s="10">
        <v>1761</v>
      </c>
      <c r="AH36" s="10">
        <v>4247</v>
      </c>
      <c r="AI36" s="10">
        <v>7558</v>
      </c>
      <c r="AJ36" s="10"/>
      <c r="AK36" s="10"/>
      <c r="AL36" s="10"/>
      <c r="AM36" s="10"/>
      <c r="AN36" s="10">
        <v>427382.55055719195</v>
      </c>
      <c r="AO36" s="10">
        <v>910530.27074492001</v>
      </c>
      <c r="AP36" s="10">
        <v>199</v>
      </c>
      <c r="AQ36" s="10">
        <v>397</v>
      </c>
      <c r="AR36" s="10">
        <v>504</v>
      </c>
      <c r="AS36" s="10">
        <v>752</v>
      </c>
      <c r="AT36" s="10">
        <v>95429</v>
      </c>
      <c r="AU36" s="10">
        <v>171821</v>
      </c>
      <c r="AV36" s="10"/>
      <c r="AW36" s="10"/>
      <c r="AX36" s="10">
        <v>25797</v>
      </c>
      <c r="AY36" s="10">
        <v>49935</v>
      </c>
      <c r="AZ36" s="10">
        <v>39233</v>
      </c>
      <c r="BA36" s="10">
        <v>69524</v>
      </c>
      <c r="BB36" s="10">
        <v>20458</v>
      </c>
      <c r="BC36" s="10">
        <v>36790</v>
      </c>
      <c r="BD36" s="10"/>
      <c r="BE36" s="10"/>
      <c r="BF36" s="10">
        <v>-3208</v>
      </c>
      <c r="BG36" s="10">
        <v>16882</v>
      </c>
      <c r="BH36" s="10">
        <v>950298</v>
      </c>
      <c r="BI36" s="10">
        <v>1762711</v>
      </c>
      <c r="BJ36" s="10">
        <v>452099</v>
      </c>
      <c r="BK36" s="10">
        <v>827624</v>
      </c>
      <c r="BL36" s="108">
        <v>501571</v>
      </c>
      <c r="BM36" s="108">
        <v>1000465</v>
      </c>
      <c r="BN36" s="10">
        <v>17883</v>
      </c>
      <c r="BO36" s="10">
        <v>21918</v>
      </c>
      <c r="BP36" s="88">
        <f t="shared" si="6"/>
        <v>3247405.5505571919</v>
      </c>
      <c r="BQ36" s="88">
        <f t="shared" si="7"/>
        <v>6170313.2707449198</v>
      </c>
    </row>
    <row r="37" spans="1:69" x14ac:dyDescent="0.25">
      <c r="A37" s="10" t="s">
        <v>230</v>
      </c>
      <c r="B37" s="10"/>
      <c r="C37" s="10"/>
      <c r="D37" s="10"/>
      <c r="E37" s="10"/>
      <c r="F37" s="10"/>
      <c r="G37" s="10"/>
      <c r="H37" s="10">
        <v>59512</v>
      </c>
      <c r="I37" s="10">
        <v>124860</v>
      </c>
      <c r="J37" s="10">
        <v>21663</v>
      </c>
      <c r="K37" s="10">
        <v>36197</v>
      </c>
      <c r="L37" s="10">
        <v>31575</v>
      </c>
      <c r="M37" s="10">
        <v>64747</v>
      </c>
      <c r="N37" s="10"/>
      <c r="O37" s="10"/>
      <c r="P37" s="10">
        <v>807</v>
      </c>
      <c r="Q37" s="10">
        <v>1493</v>
      </c>
      <c r="R37" s="10">
        <v>23239</v>
      </c>
      <c r="S37" s="10">
        <v>48001</v>
      </c>
      <c r="T37" s="10">
        <v>8000</v>
      </c>
      <c r="U37" s="10">
        <v>10689</v>
      </c>
      <c r="V37" s="10">
        <v>176765</v>
      </c>
      <c r="W37" s="10">
        <v>330561</v>
      </c>
      <c r="X37" s="10"/>
      <c r="Y37" s="10"/>
      <c r="Z37" s="10">
        <v>315588</v>
      </c>
      <c r="AA37" s="10">
        <v>573740</v>
      </c>
      <c r="AB37" s="10">
        <v>42655</v>
      </c>
      <c r="AC37" s="10">
        <v>83523</v>
      </c>
      <c r="AD37" s="10">
        <v>1373</v>
      </c>
      <c r="AE37" s="10">
        <v>2539</v>
      </c>
      <c r="AF37" s="10">
        <v>13093</v>
      </c>
      <c r="AG37" s="10">
        <v>23659</v>
      </c>
      <c r="AH37" s="10">
        <v>4369</v>
      </c>
      <c r="AI37" s="10">
        <v>8280</v>
      </c>
      <c r="AJ37" s="10"/>
      <c r="AK37" s="10"/>
      <c r="AL37" s="10"/>
      <c r="AM37" s="10"/>
      <c r="AN37" s="10">
        <v>448671.80755719193</v>
      </c>
      <c r="AO37" s="10">
        <v>959449.15674491995</v>
      </c>
      <c r="AP37" s="10">
        <v>386</v>
      </c>
      <c r="AQ37" s="10">
        <v>640</v>
      </c>
      <c r="AR37" s="10">
        <v>713</v>
      </c>
      <c r="AS37" s="10">
        <v>1174</v>
      </c>
      <c r="AT37" s="10">
        <v>90984</v>
      </c>
      <c r="AU37" s="10">
        <v>152607</v>
      </c>
      <c r="AV37" s="10"/>
      <c r="AW37" s="10"/>
      <c r="AX37" s="10">
        <v>26193</v>
      </c>
      <c r="AY37" s="10">
        <v>48175</v>
      </c>
      <c r="AZ37" s="10">
        <v>37037</v>
      </c>
      <c r="BA37" s="10">
        <v>70564</v>
      </c>
      <c r="BB37" s="10">
        <v>23065</v>
      </c>
      <c r="BC37" s="10">
        <v>47811</v>
      </c>
      <c r="BD37" s="10"/>
      <c r="BE37" s="10"/>
      <c r="BF37" s="10">
        <v>10559</v>
      </c>
      <c r="BG37" s="10">
        <v>24073</v>
      </c>
      <c r="BH37" s="10">
        <v>934908</v>
      </c>
      <c r="BI37" s="10">
        <v>1767892</v>
      </c>
      <c r="BJ37" s="10">
        <v>452672</v>
      </c>
      <c r="BK37" s="10">
        <v>908728</v>
      </c>
      <c r="BL37" s="108">
        <v>317638</v>
      </c>
      <c r="BM37" s="108">
        <v>847584</v>
      </c>
      <c r="BN37" s="10">
        <v>9938</v>
      </c>
      <c r="BO37" s="10">
        <v>13789</v>
      </c>
      <c r="BP37" s="88">
        <f t="shared" si="6"/>
        <v>3051403.8075571917</v>
      </c>
      <c r="BQ37" s="88">
        <f t="shared" si="7"/>
        <v>6150775.1567449197</v>
      </c>
    </row>
    <row r="39" spans="1:69" x14ac:dyDescent="0.25">
      <c r="A39" s="29" t="s">
        <v>220</v>
      </c>
    </row>
    <row r="40" spans="1:69" x14ac:dyDescent="0.25">
      <c r="A40" s="1" t="s">
        <v>0</v>
      </c>
      <c r="B40" s="116" t="s">
        <v>1</v>
      </c>
      <c r="C40" s="117"/>
      <c r="D40" s="116" t="s">
        <v>285</v>
      </c>
      <c r="E40" s="117"/>
      <c r="F40" s="116" t="s">
        <v>2</v>
      </c>
      <c r="G40" s="117"/>
      <c r="H40" s="116" t="s">
        <v>3</v>
      </c>
      <c r="I40" s="117"/>
      <c r="J40" s="116" t="s">
        <v>4</v>
      </c>
      <c r="K40" s="117"/>
      <c r="L40" s="116" t="s">
        <v>286</v>
      </c>
      <c r="M40" s="117"/>
      <c r="N40" s="116" t="s">
        <v>6</v>
      </c>
      <c r="O40" s="117"/>
      <c r="P40" s="116" t="s">
        <v>5</v>
      </c>
      <c r="Q40" s="117"/>
      <c r="R40" s="116" t="s">
        <v>7</v>
      </c>
      <c r="S40" s="117"/>
      <c r="T40" s="116" t="s">
        <v>287</v>
      </c>
      <c r="U40" s="117"/>
      <c r="V40" s="116" t="s">
        <v>8</v>
      </c>
      <c r="W40" s="117"/>
      <c r="X40" s="116" t="s">
        <v>288</v>
      </c>
      <c r="Y40" s="117"/>
      <c r="Z40" s="116" t="s">
        <v>9</v>
      </c>
      <c r="AA40" s="117"/>
      <c r="AB40" s="116" t="s">
        <v>10</v>
      </c>
      <c r="AC40" s="117"/>
      <c r="AD40" s="116" t="s">
        <v>289</v>
      </c>
      <c r="AE40" s="117"/>
      <c r="AF40" s="116" t="s">
        <v>11</v>
      </c>
      <c r="AG40" s="117"/>
      <c r="AH40" s="116" t="s">
        <v>12</v>
      </c>
      <c r="AI40" s="117"/>
      <c r="AJ40" s="116" t="s">
        <v>290</v>
      </c>
      <c r="AK40" s="117"/>
      <c r="AL40" s="116" t="s">
        <v>299</v>
      </c>
      <c r="AM40" s="117"/>
      <c r="AN40" s="116" t="s">
        <v>13</v>
      </c>
      <c r="AO40" s="117"/>
      <c r="AP40" s="116" t="s">
        <v>291</v>
      </c>
      <c r="AQ40" s="117"/>
      <c r="AR40" s="116" t="s">
        <v>292</v>
      </c>
      <c r="AS40" s="117"/>
      <c r="AT40" s="116" t="s">
        <v>307</v>
      </c>
      <c r="AU40" s="117"/>
      <c r="AV40" s="116" t="s">
        <v>293</v>
      </c>
      <c r="AW40" s="117"/>
      <c r="AX40" s="116" t="s">
        <v>14</v>
      </c>
      <c r="AY40" s="117"/>
      <c r="AZ40" s="116" t="s">
        <v>15</v>
      </c>
      <c r="BA40" s="117"/>
      <c r="BB40" s="116" t="s">
        <v>16</v>
      </c>
      <c r="BC40" s="117"/>
      <c r="BD40" s="116" t="s">
        <v>17</v>
      </c>
      <c r="BE40" s="117"/>
      <c r="BF40" s="116" t="s">
        <v>18</v>
      </c>
      <c r="BG40" s="117"/>
      <c r="BH40" s="116" t="s">
        <v>294</v>
      </c>
      <c r="BI40" s="117"/>
      <c r="BJ40" s="116" t="s">
        <v>295</v>
      </c>
      <c r="BK40" s="117"/>
      <c r="BL40" s="116" t="s">
        <v>19</v>
      </c>
      <c r="BM40" s="117"/>
      <c r="BN40" s="116" t="s">
        <v>20</v>
      </c>
      <c r="BO40" s="117"/>
      <c r="BP40" s="118" t="s">
        <v>21</v>
      </c>
      <c r="BQ40" s="119"/>
    </row>
    <row r="41" spans="1:69" ht="30" x14ac:dyDescent="0.25">
      <c r="A41" s="1"/>
      <c r="B41" s="67" t="s">
        <v>296</v>
      </c>
      <c r="C41" s="68" t="s">
        <v>297</v>
      </c>
      <c r="D41" s="67" t="s">
        <v>296</v>
      </c>
      <c r="E41" s="68" t="s">
        <v>297</v>
      </c>
      <c r="F41" s="67" t="s">
        <v>296</v>
      </c>
      <c r="G41" s="68" t="s">
        <v>297</v>
      </c>
      <c r="H41" s="67" t="s">
        <v>296</v>
      </c>
      <c r="I41" s="68" t="s">
        <v>297</v>
      </c>
      <c r="J41" s="67" t="s">
        <v>296</v>
      </c>
      <c r="K41" s="68" t="s">
        <v>297</v>
      </c>
      <c r="L41" s="67" t="s">
        <v>296</v>
      </c>
      <c r="M41" s="68" t="s">
        <v>297</v>
      </c>
      <c r="N41" s="67" t="s">
        <v>296</v>
      </c>
      <c r="O41" s="68" t="s">
        <v>297</v>
      </c>
      <c r="P41" s="67" t="s">
        <v>296</v>
      </c>
      <c r="Q41" s="68" t="s">
        <v>297</v>
      </c>
      <c r="R41" s="67" t="s">
        <v>296</v>
      </c>
      <c r="S41" s="68" t="s">
        <v>297</v>
      </c>
      <c r="T41" s="67" t="s">
        <v>296</v>
      </c>
      <c r="U41" s="68" t="s">
        <v>297</v>
      </c>
      <c r="V41" s="67" t="s">
        <v>296</v>
      </c>
      <c r="W41" s="68" t="s">
        <v>297</v>
      </c>
      <c r="X41" s="67" t="s">
        <v>296</v>
      </c>
      <c r="Y41" s="68" t="s">
        <v>297</v>
      </c>
      <c r="Z41" s="67" t="s">
        <v>296</v>
      </c>
      <c r="AA41" s="68" t="s">
        <v>297</v>
      </c>
      <c r="AB41" s="67" t="s">
        <v>296</v>
      </c>
      <c r="AC41" s="68" t="s">
        <v>297</v>
      </c>
      <c r="AD41" s="67" t="s">
        <v>296</v>
      </c>
      <c r="AE41" s="68" t="s">
        <v>297</v>
      </c>
      <c r="AF41" s="67" t="s">
        <v>296</v>
      </c>
      <c r="AG41" s="68" t="s">
        <v>297</v>
      </c>
      <c r="AH41" s="67" t="s">
        <v>296</v>
      </c>
      <c r="AI41" s="68" t="s">
        <v>297</v>
      </c>
      <c r="AJ41" s="67" t="s">
        <v>296</v>
      </c>
      <c r="AK41" s="68" t="s">
        <v>297</v>
      </c>
      <c r="AL41" s="67" t="s">
        <v>296</v>
      </c>
      <c r="AM41" s="68" t="s">
        <v>297</v>
      </c>
      <c r="AN41" s="67" t="s">
        <v>296</v>
      </c>
      <c r="AO41" s="68" t="s">
        <v>297</v>
      </c>
      <c r="AP41" s="67" t="s">
        <v>296</v>
      </c>
      <c r="AQ41" s="68" t="s">
        <v>297</v>
      </c>
      <c r="AR41" s="67" t="s">
        <v>296</v>
      </c>
      <c r="AS41" s="68" t="s">
        <v>297</v>
      </c>
      <c r="AT41" s="67" t="s">
        <v>296</v>
      </c>
      <c r="AU41" s="68" t="s">
        <v>297</v>
      </c>
      <c r="AV41" s="67" t="s">
        <v>296</v>
      </c>
      <c r="AW41" s="68" t="s">
        <v>297</v>
      </c>
      <c r="AX41" s="67" t="s">
        <v>296</v>
      </c>
      <c r="AY41" s="68" t="s">
        <v>297</v>
      </c>
      <c r="AZ41" s="67" t="s">
        <v>296</v>
      </c>
      <c r="BA41" s="68" t="s">
        <v>297</v>
      </c>
      <c r="BB41" s="67" t="s">
        <v>296</v>
      </c>
      <c r="BC41" s="68" t="s">
        <v>297</v>
      </c>
      <c r="BD41" s="67" t="s">
        <v>296</v>
      </c>
      <c r="BE41" s="68" t="s">
        <v>297</v>
      </c>
      <c r="BF41" s="67" t="s">
        <v>296</v>
      </c>
      <c r="BG41" s="68" t="s">
        <v>297</v>
      </c>
      <c r="BH41" s="67" t="s">
        <v>296</v>
      </c>
      <c r="BI41" s="68" t="s">
        <v>297</v>
      </c>
      <c r="BJ41" s="67" t="s">
        <v>296</v>
      </c>
      <c r="BK41" s="68" t="s">
        <v>297</v>
      </c>
      <c r="BL41" s="67" t="s">
        <v>296</v>
      </c>
      <c r="BM41" s="68" t="s">
        <v>297</v>
      </c>
      <c r="BN41" s="67" t="s">
        <v>296</v>
      </c>
      <c r="BO41" s="68" t="s">
        <v>297</v>
      </c>
      <c r="BP41" s="84" t="s">
        <v>280</v>
      </c>
      <c r="BQ41" s="85" t="s">
        <v>281</v>
      </c>
    </row>
    <row r="42" spans="1:69" x14ac:dyDescent="0.25">
      <c r="A42" s="10" t="s">
        <v>271</v>
      </c>
      <c r="B42" s="10">
        <v>225857</v>
      </c>
      <c r="C42" s="10">
        <v>372733</v>
      </c>
      <c r="D42" s="10">
        <v>2789710</v>
      </c>
      <c r="E42" s="10">
        <v>5080006</v>
      </c>
      <c r="F42" s="10"/>
      <c r="G42" s="10"/>
      <c r="H42" s="10">
        <v>5624209</v>
      </c>
      <c r="I42" s="10">
        <v>10115219</v>
      </c>
      <c r="J42" s="10">
        <v>932848</v>
      </c>
      <c r="K42" s="10">
        <v>2061686</v>
      </c>
      <c r="L42" s="10">
        <v>1361762</v>
      </c>
      <c r="M42" s="10">
        <v>2373461</v>
      </c>
      <c r="N42" s="10"/>
      <c r="O42" s="10"/>
      <c r="P42" s="10">
        <v>313379</v>
      </c>
      <c r="Q42" s="10">
        <v>459014</v>
      </c>
      <c r="R42" s="10">
        <v>955062</v>
      </c>
      <c r="S42" s="10">
        <v>1762087</v>
      </c>
      <c r="T42" s="10">
        <v>597392</v>
      </c>
      <c r="U42" s="10">
        <v>1365347</v>
      </c>
      <c r="V42" s="10">
        <v>3464988</v>
      </c>
      <c r="W42" s="10">
        <v>6112543</v>
      </c>
      <c r="X42" s="10">
        <v>5723376</v>
      </c>
      <c r="Y42" s="10">
        <v>10062936</v>
      </c>
      <c r="Z42" s="10">
        <v>7130191</v>
      </c>
      <c r="AA42" s="10">
        <v>14474135</v>
      </c>
      <c r="AB42" s="10">
        <v>6357188</v>
      </c>
      <c r="AC42" s="10">
        <v>9721732</v>
      </c>
      <c r="AD42" s="10">
        <v>522720</v>
      </c>
      <c r="AE42" s="10">
        <v>880329</v>
      </c>
      <c r="AF42" s="10">
        <v>517758</v>
      </c>
      <c r="AG42" s="10">
        <v>1339529</v>
      </c>
      <c r="AH42" s="10">
        <v>253597</v>
      </c>
      <c r="AI42" s="10">
        <v>386216</v>
      </c>
      <c r="AJ42" s="10">
        <v>1842513</v>
      </c>
      <c r="AK42" s="10">
        <v>3259878</v>
      </c>
      <c r="AL42" s="10">
        <v>3977391</v>
      </c>
      <c r="AM42" s="10">
        <v>6975537</v>
      </c>
      <c r="AN42" s="10">
        <v>19595639.278209142</v>
      </c>
      <c r="AO42" s="10">
        <v>29401344.224330217</v>
      </c>
      <c r="AP42" s="10">
        <v>58938</v>
      </c>
      <c r="AQ42" s="10">
        <v>67450</v>
      </c>
      <c r="AR42" s="10">
        <v>1539</v>
      </c>
      <c r="AS42" s="10">
        <v>4351</v>
      </c>
      <c r="AT42" s="10">
        <v>2170492</v>
      </c>
      <c r="AU42" s="10">
        <v>6351383</v>
      </c>
      <c r="AV42" s="10">
        <v>6025982</v>
      </c>
      <c r="AW42" s="10">
        <v>10609741</v>
      </c>
      <c r="AX42" s="10">
        <v>887639</v>
      </c>
      <c r="AY42" s="10">
        <v>1757966</v>
      </c>
      <c r="AZ42" s="10">
        <v>2442404</v>
      </c>
      <c r="BA42" s="10">
        <v>5176171</v>
      </c>
      <c r="BB42" s="10">
        <v>3141</v>
      </c>
      <c r="BC42" s="10">
        <v>4239</v>
      </c>
      <c r="BD42" s="10"/>
      <c r="BE42" s="10"/>
      <c r="BF42" s="10">
        <v>3086539</v>
      </c>
      <c r="BG42" s="10">
        <v>5300758</v>
      </c>
      <c r="BH42" s="10">
        <v>22672648</v>
      </c>
      <c r="BI42" s="10">
        <v>54091308</v>
      </c>
      <c r="BJ42" s="10">
        <v>14307667</v>
      </c>
      <c r="BK42" s="10">
        <v>25083657</v>
      </c>
      <c r="BL42" s="108">
        <v>13698436</v>
      </c>
      <c r="BM42" s="108">
        <v>29354003</v>
      </c>
      <c r="BN42" s="10">
        <v>568015</v>
      </c>
      <c r="BO42" s="10">
        <v>1393087</v>
      </c>
      <c r="BP42" s="88">
        <f t="shared" ref="BP42:BP46" si="8">SUM(B42+D42+F42+H42+J42+L42+N42+P42+R42+T42+V42+X42+Z42+AB42+AD42+AF42+AH42+AJ42+AL42+AN42+AP42+AR42+AT42+AV42+AX42+AZ42+BB42+BD42+BF42+BH42+BJ42+BL42+BN42)</f>
        <v>128109020.27820915</v>
      </c>
      <c r="BQ42" s="88">
        <f t="shared" ref="BQ42:BQ46" si="9">SUM(C42+E42+G42+I42+K42+M42+O42+Q42+S42+U42+W42+Y42+AA42+AC42+AE42+AG42+AI42+AK42+AM42+AO42+AQ42+AS42+AU42+AW42+AY42+BA42+BC42+BE42+BG42+BI42+BK42+BM42+BO42)</f>
        <v>245397846.22433022</v>
      </c>
    </row>
    <row r="43" spans="1:69" x14ac:dyDescent="0.25">
      <c r="A43" s="10" t="s">
        <v>274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>
        <v>207</v>
      </c>
      <c r="Q43" s="10">
        <v>416</v>
      </c>
      <c r="R43" s="10"/>
      <c r="S43" s="10"/>
      <c r="T43" s="10"/>
      <c r="U43" s="10"/>
      <c r="V43" s="10">
        <v>0</v>
      </c>
      <c r="W43" s="10">
        <v>0</v>
      </c>
      <c r="X43" s="10"/>
      <c r="Y43" s="10"/>
      <c r="Z43" s="10">
        <v>163842</v>
      </c>
      <c r="AA43" s="10">
        <v>411428</v>
      </c>
      <c r="AB43" s="10"/>
      <c r="AC43" s="10"/>
      <c r="AD43" s="10"/>
      <c r="AE43" s="10"/>
      <c r="AF43" s="10"/>
      <c r="AG43" s="10"/>
      <c r="AH43" s="10">
        <v>-6</v>
      </c>
      <c r="AI43" s="10">
        <v>-6</v>
      </c>
      <c r="AJ43" s="10"/>
      <c r="AK43" s="10"/>
      <c r="AL43" s="10"/>
      <c r="AM43" s="10"/>
      <c r="AN43" s="10">
        <v>0</v>
      </c>
      <c r="AO43" s="10">
        <v>0</v>
      </c>
      <c r="AP43" s="10"/>
      <c r="AQ43" s="10"/>
      <c r="AR43" s="10"/>
      <c r="AS43" s="10"/>
      <c r="AT43" s="10"/>
      <c r="AU43" s="10"/>
      <c r="AV43" s="10">
        <v>44558</v>
      </c>
      <c r="AW43" s="10">
        <v>176637</v>
      </c>
      <c r="AX43" s="10"/>
      <c r="AY43" s="10"/>
      <c r="AZ43" s="10"/>
      <c r="BA43" s="10">
        <v>347267</v>
      </c>
      <c r="BB43" s="10"/>
      <c r="BC43" s="10"/>
      <c r="BD43" s="10"/>
      <c r="BE43" s="10"/>
      <c r="BF43" s="10"/>
      <c r="BG43" s="10"/>
      <c r="BH43" s="10">
        <v>51454</v>
      </c>
      <c r="BI43" s="10">
        <v>55706</v>
      </c>
      <c r="BJ43" s="10">
        <v>-1583</v>
      </c>
      <c r="BK43" s="10">
        <v>-2615</v>
      </c>
      <c r="BL43" s="10"/>
      <c r="BM43" s="10"/>
      <c r="BN43" s="10"/>
      <c r="BO43" s="10"/>
      <c r="BP43" s="88">
        <f t="shared" si="8"/>
        <v>258472</v>
      </c>
      <c r="BQ43" s="88">
        <f t="shared" si="9"/>
        <v>988833</v>
      </c>
    </row>
    <row r="44" spans="1:69" x14ac:dyDescent="0.25">
      <c r="A44" s="10" t="s">
        <v>275</v>
      </c>
      <c r="B44" s="10">
        <v>14423</v>
      </c>
      <c r="C44" s="10">
        <v>23202</v>
      </c>
      <c r="D44" s="10">
        <v>781896</v>
      </c>
      <c r="E44" s="10">
        <v>1384646</v>
      </c>
      <c r="F44" s="10"/>
      <c r="G44" s="10"/>
      <c r="H44" s="10">
        <v>600982</v>
      </c>
      <c r="I44" s="10">
        <v>856855</v>
      </c>
      <c r="J44" s="10">
        <v>162738</v>
      </c>
      <c r="K44" s="10">
        <v>249996</v>
      </c>
      <c r="L44" s="10">
        <v>286990</v>
      </c>
      <c r="M44" s="10">
        <v>434305</v>
      </c>
      <c r="N44" s="10"/>
      <c r="O44" s="10"/>
      <c r="P44" s="10">
        <v>14949</v>
      </c>
      <c r="Q44" s="10">
        <v>25196</v>
      </c>
      <c r="R44" s="10">
        <v>103290</v>
      </c>
      <c r="S44" s="10">
        <v>239670</v>
      </c>
      <c r="T44" s="10">
        <v>190448</v>
      </c>
      <c r="U44" s="10">
        <v>438020</v>
      </c>
      <c r="V44" s="10">
        <v>-1381061</v>
      </c>
      <c r="W44" s="10">
        <v>-2169599</v>
      </c>
      <c r="X44" s="10">
        <v>1760268</v>
      </c>
      <c r="Y44" s="10">
        <v>3052176</v>
      </c>
      <c r="Z44" s="10">
        <v>1554566</v>
      </c>
      <c r="AA44" s="10">
        <v>2705299</v>
      </c>
      <c r="AB44" s="10">
        <v>802271</v>
      </c>
      <c r="AC44" s="10">
        <v>1038361</v>
      </c>
      <c r="AD44" s="10">
        <v>27672</v>
      </c>
      <c r="AE44" s="10">
        <v>46091</v>
      </c>
      <c r="AF44" s="10">
        <v>28898</v>
      </c>
      <c r="AG44" s="10">
        <v>69875</v>
      </c>
      <c r="AH44" s="10">
        <v>-32205</v>
      </c>
      <c r="AI44" s="10">
        <v>-42242</v>
      </c>
      <c r="AJ44" s="10">
        <v>94573</v>
      </c>
      <c r="AK44" s="10">
        <v>167755</v>
      </c>
      <c r="AL44" s="10">
        <v>946817</v>
      </c>
      <c r="AM44" s="10">
        <v>1649419</v>
      </c>
      <c r="AN44" s="10">
        <v>1485127.1861319994</v>
      </c>
      <c r="AO44" s="10">
        <v>1831968.3347835429</v>
      </c>
      <c r="AP44" s="10">
        <v>-18682</v>
      </c>
      <c r="AQ44" s="10">
        <v>-23211</v>
      </c>
      <c r="AR44" s="10">
        <v>77</v>
      </c>
      <c r="AS44" s="10">
        <v>218</v>
      </c>
      <c r="AT44" s="10">
        <v>470168</v>
      </c>
      <c r="AU44" s="10">
        <v>1360029</v>
      </c>
      <c r="AV44" s="10">
        <v>1563852</v>
      </c>
      <c r="AW44" s="10">
        <v>2755690</v>
      </c>
      <c r="AX44" s="10">
        <v>-212938</v>
      </c>
      <c r="AY44" s="10">
        <v>-397154</v>
      </c>
      <c r="AZ44" s="10">
        <v>122121</v>
      </c>
      <c r="BA44" s="10">
        <v>258809</v>
      </c>
      <c r="BB44" s="10">
        <v>263</v>
      </c>
      <c r="BC44" s="10">
        <v>534</v>
      </c>
      <c r="BD44" s="10"/>
      <c r="BE44" s="10"/>
      <c r="BF44" s="10">
        <v>386218</v>
      </c>
      <c r="BG44" s="10">
        <v>565519</v>
      </c>
      <c r="BH44" s="10">
        <v>1124828</v>
      </c>
      <c r="BI44" s="10">
        <v>2676063</v>
      </c>
      <c r="BJ44" s="10">
        <v>668369</v>
      </c>
      <c r="BK44" s="10">
        <v>1197556</v>
      </c>
      <c r="BL44" s="108">
        <v>1521706</v>
      </c>
      <c r="BM44" s="108">
        <v>2304478</v>
      </c>
      <c r="BN44" s="10">
        <v>29297</v>
      </c>
      <c r="BO44" s="10">
        <v>71860</v>
      </c>
      <c r="BP44" s="88">
        <f t="shared" si="8"/>
        <v>13097921.186131999</v>
      </c>
      <c r="BQ44" s="88">
        <f t="shared" si="9"/>
        <v>22771384.334783543</v>
      </c>
    </row>
    <row r="45" spans="1:69" x14ac:dyDescent="0.25">
      <c r="A45" s="10" t="s">
        <v>229</v>
      </c>
      <c r="B45" s="10">
        <v>211434</v>
      </c>
      <c r="C45" s="10">
        <v>349531</v>
      </c>
      <c r="D45" s="10">
        <v>2007814</v>
      </c>
      <c r="E45" s="10">
        <v>3695360</v>
      </c>
      <c r="F45" s="10"/>
      <c r="G45" s="10"/>
      <c r="H45" s="10">
        <v>5023227</v>
      </c>
      <c r="I45" s="10">
        <v>9258364</v>
      </c>
      <c r="J45" s="10">
        <v>770110</v>
      </c>
      <c r="K45" s="10">
        <v>1811690</v>
      </c>
      <c r="L45" s="10">
        <v>1074772</v>
      </c>
      <c r="M45" s="10">
        <v>1939156</v>
      </c>
      <c r="N45" s="10"/>
      <c r="O45" s="10"/>
      <c r="P45" s="10">
        <v>298637</v>
      </c>
      <c r="Q45" s="10">
        <v>434234</v>
      </c>
      <c r="R45" s="10">
        <v>851773</v>
      </c>
      <c r="S45" s="10">
        <v>1522417</v>
      </c>
      <c r="T45" s="10">
        <v>406944</v>
      </c>
      <c r="U45" s="10">
        <v>927327</v>
      </c>
      <c r="V45" s="10">
        <v>2083927</v>
      </c>
      <c r="W45" s="10">
        <v>3942944</v>
      </c>
      <c r="X45" s="10">
        <v>3963108</v>
      </c>
      <c r="Y45" s="10">
        <v>7010760</v>
      </c>
      <c r="Z45" s="10">
        <v>5739467</v>
      </c>
      <c r="AA45" s="10">
        <v>12180264</v>
      </c>
      <c r="AB45" s="10">
        <v>5554917</v>
      </c>
      <c r="AC45" s="10">
        <v>8683371</v>
      </c>
      <c r="AD45" s="10">
        <v>495048</v>
      </c>
      <c r="AE45" s="10">
        <v>834238</v>
      </c>
      <c r="AF45" s="10">
        <v>488860</v>
      </c>
      <c r="AG45" s="10">
        <v>1269654</v>
      </c>
      <c r="AH45" s="10">
        <v>221386</v>
      </c>
      <c r="AI45" s="10">
        <v>343968</v>
      </c>
      <c r="AJ45" s="10">
        <v>1747941</v>
      </c>
      <c r="AK45" s="10">
        <v>3092123</v>
      </c>
      <c r="AL45" s="10">
        <v>3030574</v>
      </c>
      <c r="AM45" s="10">
        <v>5326118</v>
      </c>
      <c r="AN45" s="10">
        <v>18110512.092077143</v>
      </c>
      <c r="AO45" s="10">
        <v>27569375.889546674</v>
      </c>
      <c r="AP45" s="10">
        <v>40256</v>
      </c>
      <c r="AQ45" s="10"/>
      <c r="AR45" s="10">
        <v>1462</v>
      </c>
      <c r="AS45" s="10">
        <v>4133</v>
      </c>
      <c r="AT45" s="10">
        <v>1700324</v>
      </c>
      <c r="AU45" s="10">
        <v>4991354</v>
      </c>
      <c r="AV45" s="10">
        <v>4506688</v>
      </c>
      <c r="AW45" s="10">
        <v>8030688</v>
      </c>
      <c r="AX45" s="10">
        <v>674701</v>
      </c>
      <c r="AY45" s="10">
        <v>1360812</v>
      </c>
      <c r="AZ45" s="10">
        <v>2320283</v>
      </c>
      <c r="BA45" s="10">
        <v>5264629</v>
      </c>
      <c r="BB45" s="10">
        <v>2878</v>
      </c>
      <c r="BC45" s="10">
        <v>3705</v>
      </c>
      <c r="BD45" s="10"/>
      <c r="BE45" s="10"/>
      <c r="BF45" s="10">
        <v>2700321</v>
      </c>
      <c r="BG45" s="10">
        <v>4735239</v>
      </c>
      <c r="BH45" s="10">
        <v>21599275</v>
      </c>
      <c r="BI45" s="10">
        <v>51470951</v>
      </c>
      <c r="BJ45" s="10">
        <v>13637715</v>
      </c>
      <c r="BK45" s="10">
        <v>23883486</v>
      </c>
      <c r="BL45" s="108">
        <v>12176730</v>
      </c>
      <c r="BM45" s="108">
        <v>27049525</v>
      </c>
      <c r="BN45" s="10">
        <v>538718</v>
      </c>
      <c r="BO45" s="10">
        <v>1321227</v>
      </c>
      <c r="BP45" s="88">
        <f t="shared" si="8"/>
        <v>111979802.09207714</v>
      </c>
      <c r="BQ45" s="88">
        <f t="shared" si="9"/>
        <v>218306643.88954669</v>
      </c>
    </row>
    <row r="46" spans="1:69" x14ac:dyDescent="0.25">
      <c r="A46" s="10" t="s">
        <v>230</v>
      </c>
      <c r="B46" s="10">
        <v>136116</v>
      </c>
      <c r="C46" s="10">
        <v>205014</v>
      </c>
      <c r="D46" s="10">
        <v>1535621</v>
      </c>
      <c r="E46" s="10">
        <v>2881964</v>
      </c>
      <c r="F46" s="10"/>
      <c r="G46" s="10"/>
      <c r="H46" s="10">
        <v>4128536</v>
      </c>
      <c r="I46" s="10">
        <v>8057188</v>
      </c>
      <c r="J46" s="10">
        <v>661236</v>
      </c>
      <c r="K46" s="10">
        <v>1220902</v>
      </c>
      <c r="L46" s="10">
        <v>763442</v>
      </c>
      <c r="M46" s="10">
        <v>1369919</v>
      </c>
      <c r="N46" s="10"/>
      <c r="O46" s="10"/>
      <c r="P46" s="10">
        <v>168295</v>
      </c>
      <c r="Q46" s="10">
        <v>316455</v>
      </c>
      <c r="R46" s="10">
        <v>779276</v>
      </c>
      <c r="S46" s="10">
        <v>1470898</v>
      </c>
      <c r="T46" s="10">
        <v>244847</v>
      </c>
      <c r="U46" s="10">
        <v>357515</v>
      </c>
      <c r="V46" s="10">
        <v>1893521</v>
      </c>
      <c r="W46" s="10">
        <v>3687262</v>
      </c>
      <c r="X46" s="10">
        <v>4566185</v>
      </c>
      <c r="Y46" s="10">
        <v>6740076</v>
      </c>
      <c r="Z46" s="10">
        <v>5246543</v>
      </c>
      <c r="AA46" s="10">
        <v>9975693</v>
      </c>
      <c r="AB46" s="10">
        <v>3434252</v>
      </c>
      <c r="AC46" s="10">
        <v>5946512</v>
      </c>
      <c r="AD46" s="10">
        <v>293437</v>
      </c>
      <c r="AE46" s="10">
        <v>510612</v>
      </c>
      <c r="AF46" s="10">
        <v>624588</v>
      </c>
      <c r="AG46" s="10">
        <v>1179082</v>
      </c>
      <c r="AH46" s="10">
        <v>112834</v>
      </c>
      <c r="AI46" s="10">
        <v>188205</v>
      </c>
      <c r="AJ46" s="10">
        <v>1466045</v>
      </c>
      <c r="AK46" s="10">
        <v>2726936</v>
      </c>
      <c r="AL46" s="10">
        <v>2530754</v>
      </c>
      <c r="AM46" s="10">
        <v>4593861</v>
      </c>
      <c r="AN46" s="10">
        <v>13357220.747077143</v>
      </c>
      <c r="AO46" s="10">
        <v>21646930.325546674</v>
      </c>
      <c r="AP46" s="10">
        <v>89403</v>
      </c>
      <c r="AQ46" s="10"/>
      <c r="AR46" s="10">
        <v>1920</v>
      </c>
      <c r="AS46" s="10">
        <v>3452</v>
      </c>
      <c r="AT46" s="10">
        <v>1901825</v>
      </c>
      <c r="AU46" s="10">
        <v>3737571</v>
      </c>
      <c r="AV46" s="10">
        <v>3766957</v>
      </c>
      <c r="AW46" s="10">
        <v>6738730</v>
      </c>
      <c r="AX46" s="10">
        <v>739645</v>
      </c>
      <c r="AY46" s="10">
        <v>1500880</v>
      </c>
      <c r="AZ46" s="10">
        <v>2287780</v>
      </c>
      <c r="BA46" s="10">
        <v>4405224</v>
      </c>
      <c r="BB46" s="10">
        <v>1201</v>
      </c>
      <c r="BC46" s="10">
        <v>2275</v>
      </c>
      <c r="BD46" s="10"/>
      <c r="BE46" s="10"/>
      <c r="BF46" s="10">
        <v>1833743</v>
      </c>
      <c r="BG46" s="10">
        <v>3434116</v>
      </c>
      <c r="BH46" s="10">
        <v>23367729</v>
      </c>
      <c r="BI46" s="10">
        <v>45284073</v>
      </c>
      <c r="BJ46" s="10">
        <v>12211973</v>
      </c>
      <c r="BK46" s="10">
        <v>21955044</v>
      </c>
      <c r="BL46" s="108">
        <v>10403662</v>
      </c>
      <c r="BM46" s="108">
        <v>23012387</v>
      </c>
      <c r="BN46" s="10">
        <v>485092</v>
      </c>
      <c r="BO46" s="10">
        <v>926100</v>
      </c>
      <c r="BP46" s="88">
        <f t="shared" si="8"/>
        <v>99033678.747077137</v>
      </c>
      <c r="BQ46" s="88">
        <f t="shared" si="9"/>
        <v>184074876.32554668</v>
      </c>
    </row>
    <row r="48" spans="1:69" x14ac:dyDescent="0.25">
      <c r="A48" s="29" t="s">
        <v>221</v>
      </c>
    </row>
    <row r="49" spans="1:69" x14ac:dyDescent="0.25">
      <c r="A49" s="1" t="s">
        <v>0</v>
      </c>
      <c r="B49" s="116" t="s">
        <v>1</v>
      </c>
      <c r="C49" s="117"/>
      <c r="D49" s="116" t="s">
        <v>285</v>
      </c>
      <c r="E49" s="117"/>
      <c r="F49" s="116" t="s">
        <v>2</v>
      </c>
      <c r="G49" s="117"/>
      <c r="H49" s="116" t="s">
        <v>3</v>
      </c>
      <c r="I49" s="117"/>
      <c r="J49" s="116" t="s">
        <v>4</v>
      </c>
      <c r="K49" s="117"/>
      <c r="L49" s="116" t="s">
        <v>286</v>
      </c>
      <c r="M49" s="117"/>
      <c r="N49" s="116" t="s">
        <v>6</v>
      </c>
      <c r="O49" s="117"/>
      <c r="P49" s="116" t="s">
        <v>5</v>
      </c>
      <c r="Q49" s="117"/>
      <c r="R49" s="116" t="s">
        <v>7</v>
      </c>
      <c r="S49" s="117"/>
      <c r="T49" s="116" t="s">
        <v>287</v>
      </c>
      <c r="U49" s="117"/>
      <c r="V49" s="116" t="s">
        <v>8</v>
      </c>
      <c r="W49" s="117"/>
      <c r="X49" s="116" t="s">
        <v>288</v>
      </c>
      <c r="Y49" s="117"/>
      <c r="Z49" s="116" t="s">
        <v>9</v>
      </c>
      <c r="AA49" s="117"/>
      <c r="AB49" s="116" t="s">
        <v>10</v>
      </c>
      <c r="AC49" s="117"/>
      <c r="AD49" s="116" t="s">
        <v>289</v>
      </c>
      <c r="AE49" s="117"/>
      <c r="AF49" s="116" t="s">
        <v>11</v>
      </c>
      <c r="AG49" s="117"/>
      <c r="AH49" s="116" t="s">
        <v>12</v>
      </c>
      <c r="AI49" s="117"/>
      <c r="AJ49" s="116" t="s">
        <v>290</v>
      </c>
      <c r="AK49" s="117"/>
      <c r="AL49" s="116" t="s">
        <v>299</v>
      </c>
      <c r="AM49" s="117"/>
      <c r="AN49" s="116" t="s">
        <v>13</v>
      </c>
      <c r="AO49" s="117"/>
      <c r="AP49" s="116" t="s">
        <v>291</v>
      </c>
      <c r="AQ49" s="117"/>
      <c r="AR49" s="116" t="s">
        <v>292</v>
      </c>
      <c r="AS49" s="117"/>
      <c r="AT49" s="116" t="s">
        <v>307</v>
      </c>
      <c r="AU49" s="117"/>
      <c r="AV49" s="116" t="s">
        <v>293</v>
      </c>
      <c r="AW49" s="117"/>
      <c r="AX49" s="116" t="s">
        <v>14</v>
      </c>
      <c r="AY49" s="117"/>
      <c r="AZ49" s="116" t="s">
        <v>15</v>
      </c>
      <c r="BA49" s="117"/>
      <c r="BB49" s="116" t="s">
        <v>16</v>
      </c>
      <c r="BC49" s="117"/>
      <c r="BD49" s="116" t="s">
        <v>17</v>
      </c>
      <c r="BE49" s="117"/>
      <c r="BF49" s="116" t="s">
        <v>18</v>
      </c>
      <c r="BG49" s="117"/>
      <c r="BH49" s="116" t="s">
        <v>294</v>
      </c>
      <c r="BI49" s="117"/>
      <c r="BJ49" s="116" t="s">
        <v>295</v>
      </c>
      <c r="BK49" s="117"/>
      <c r="BL49" s="116" t="s">
        <v>19</v>
      </c>
      <c r="BM49" s="117"/>
      <c r="BN49" s="116" t="s">
        <v>20</v>
      </c>
      <c r="BO49" s="117"/>
      <c r="BP49" s="118" t="s">
        <v>21</v>
      </c>
      <c r="BQ49" s="119"/>
    </row>
    <row r="50" spans="1:69" ht="30" x14ac:dyDescent="0.25">
      <c r="A50" s="1"/>
      <c r="B50" s="67" t="s">
        <v>296</v>
      </c>
      <c r="C50" s="68" t="s">
        <v>297</v>
      </c>
      <c r="D50" s="67" t="s">
        <v>296</v>
      </c>
      <c r="E50" s="68" t="s">
        <v>297</v>
      </c>
      <c r="F50" s="67" t="s">
        <v>296</v>
      </c>
      <c r="G50" s="68" t="s">
        <v>297</v>
      </c>
      <c r="H50" s="67" t="s">
        <v>296</v>
      </c>
      <c r="I50" s="68" t="s">
        <v>297</v>
      </c>
      <c r="J50" s="67" t="s">
        <v>296</v>
      </c>
      <c r="K50" s="68" t="s">
        <v>297</v>
      </c>
      <c r="L50" s="67" t="s">
        <v>296</v>
      </c>
      <c r="M50" s="68" t="s">
        <v>297</v>
      </c>
      <c r="N50" s="67" t="s">
        <v>296</v>
      </c>
      <c r="O50" s="68" t="s">
        <v>297</v>
      </c>
      <c r="P50" s="67" t="s">
        <v>296</v>
      </c>
      <c r="Q50" s="68" t="s">
        <v>297</v>
      </c>
      <c r="R50" s="67" t="s">
        <v>296</v>
      </c>
      <c r="S50" s="68" t="s">
        <v>297</v>
      </c>
      <c r="T50" s="67" t="s">
        <v>296</v>
      </c>
      <c r="U50" s="68" t="s">
        <v>297</v>
      </c>
      <c r="V50" s="67" t="s">
        <v>296</v>
      </c>
      <c r="W50" s="68" t="s">
        <v>297</v>
      </c>
      <c r="X50" s="67" t="s">
        <v>296</v>
      </c>
      <c r="Y50" s="68" t="s">
        <v>297</v>
      </c>
      <c r="Z50" s="67" t="s">
        <v>296</v>
      </c>
      <c r="AA50" s="68" t="s">
        <v>297</v>
      </c>
      <c r="AB50" s="67" t="s">
        <v>296</v>
      </c>
      <c r="AC50" s="68" t="s">
        <v>297</v>
      </c>
      <c r="AD50" s="67" t="s">
        <v>296</v>
      </c>
      <c r="AE50" s="68" t="s">
        <v>297</v>
      </c>
      <c r="AF50" s="67" t="s">
        <v>296</v>
      </c>
      <c r="AG50" s="68" t="s">
        <v>297</v>
      </c>
      <c r="AH50" s="67" t="s">
        <v>296</v>
      </c>
      <c r="AI50" s="68" t="s">
        <v>297</v>
      </c>
      <c r="AJ50" s="67" t="s">
        <v>296</v>
      </c>
      <c r="AK50" s="68" t="s">
        <v>297</v>
      </c>
      <c r="AL50" s="67" t="s">
        <v>296</v>
      </c>
      <c r="AM50" s="68" t="s">
        <v>297</v>
      </c>
      <c r="AN50" s="67" t="s">
        <v>296</v>
      </c>
      <c r="AO50" s="68" t="s">
        <v>297</v>
      </c>
      <c r="AP50" s="67" t="s">
        <v>296</v>
      </c>
      <c r="AQ50" s="68" t="s">
        <v>297</v>
      </c>
      <c r="AR50" s="67" t="s">
        <v>296</v>
      </c>
      <c r="AS50" s="68" t="s">
        <v>297</v>
      </c>
      <c r="AT50" s="67" t="s">
        <v>296</v>
      </c>
      <c r="AU50" s="68" t="s">
        <v>297</v>
      </c>
      <c r="AV50" s="67" t="s">
        <v>296</v>
      </c>
      <c r="AW50" s="68" t="s">
        <v>297</v>
      </c>
      <c r="AX50" s="67" t="s">
        <v>296</v>
      </c>
      <c r="AY50" s="68" t="s">
        <v>297</v>
      </c>
      <c r="AZ50" s="67" t="s">
        <v>296</v>
      </c>
      <c r="BA50" s="68" t="s">
        <v>297</v>
      </c>
      <c r="BB50" s="67" t="s">
        <v>296</v>
      </c>
      <c r="BC50" s="68" t="s">
        <v>297</v>
      </c>
      <c r="BD50" s="67" t="s">
        <v>296</v>
      </c>
      <c r="BE50" s="68" t="s">
        <v>297</v>
      </c>
      <c r="BF50" s="67" t="s">
        <v>296</v>
      </c>
      <c r="BG50" s="68" t="s">
        <v>297</v>
      </c>
      <c r="BH50" s="67" t="s">
        <v>296</v>
      </c>
      <c r="BI50" s="68" t="s">
        <v>297</v>
      </c>
      <c r="BJ50" s="67" t="s">
        <v>296</v>
      </c>
      <c r="BK50" s="68" t="s">
        <v>297</v>
      </c>
      <c r="BL50" s="67" t="s">
        <v>296</v>
      </c>
      <c r="BM50" s="68" t="s">
        <v>297</v>
      </c>
      <c r="BN50" s="67" t="s">
        <v>296</v>
      </c>
      <c r="BO50" s="68" t="s">
        <v>297</v>
      </c>
      <c r="BP50" s="84" t="s">
        <v>280</v>
      </c>
      <c r="BQ50" s="85" t="s">
        <v>281</v>
      </c>
    </row>
    <row r="51" spans="1:69" x14ac:dyDescent="0.25">
      <c r="A51" s="10" t="s">
        <v>271</v>
      </c>
      <c r="B51" s="10">
        <v>22432</v>
      </c>
      <c r="C51" s="10">
        <v>30792</v>
      </c>
      <c r="D51" s="10">
        <v>254522</v>
      </c>
      <c r="E51" s="10">
        <v>420203</v>
      </c>
      <c r="F51" s="10"/>
      <c r="G51" s="10"/>
      <c r="H51" s="10">
        <v>490371</v>
      </c>
      <c r="I51" s="10">
        <v>1029198</v>
      </c>
      <c r="J51" s="10">
        <v>124477</v>
      </c>
      <c r="K51" s="10">
        <v>220703</v>
      </c>
      <c r="L51" s="10">
        <v>645950</v>
      </c>
      <c r="M51" s="10">
        <v>1052501</v>
      </c>
      <c r="N51" s="10"/>
      <c r="O51" s="10"/>
      <c r="P51" s="10">
        <v>3427</v>
      </c>
      <c r="Q51" s="10">
        <v>4598</v>
      </c>
      <c r="R51" s="10">
        <v>194057</v>
      </c>
      <c r="S51" s="10">
        <v>341595</v>
      </c>
      <c r="T51" s="10">
        <v>47497</v>
      </c>
      <c r="U51" s="10">
        <v>96370</v>
      </c>
      <c r="V51" s="10">
        <v>1214441</v>
      </c>
      <c r="W51" s="10">
        <v>1854720</v>
      </c>
      <c r="X51" s="10">
        <v>136641</v>
      </c>
      <c r="Y51" s="10">
        <v>251454</v>
      </c>
      <c r="Z51" s="10">
        <v>846022</v>
      </c>
      <c r="AA51" s="10">
        <v>1472931</v>
      </c>
      <c r="AB51" s="10">
        <v>297815</v>
      </c>
      <c r="AC51" s="10">
        <v>567215</v>
      </c>
      <c r="AD51" s="10">
        <v>78010</v>
      </c>
      <c r="AE51" s="10">
        <v>128187</v>
      </c>
      <c r="AF51" s="10">
        <v>42016</v>
      </c>
      <c r="AG51" s="10">
        <v>101388</v>
      </c>
      <c r="AH51" s="10">
        <v>7983</v>
      </c>
      <c r="AI51" s="10">
        <v>17461</v>
      </c>
      <c r="AJ51" s="10">
        <v>18537</v>
      </c>
      <c r="AK51" s="10">
        <v>31869</v>
      </c>
      <c r="AL51" s="10">
        <v>155131</v>
      </c>
      <c r="AM51" s="10">
        <v>217195</v>
      </c>
      <c r="AN51" s="10">
        <v>822503.27800000005</v>
      </c>
      <c r="AO51" s="10">
        <v>1304386.3640000001</v>
      </c>
      <c r="AP51" s="10">
        <v>13484</v>
      </c>
      <c r="AQ51" s="10">
        <v>15820</v>
      </c>
      <c r="AR51" s="10">
        <v>20</v>
      </c>
      <c r="AS51" s="10">
        <v>427</v>
      </c>
      <c r="AT51" s="10">
        <v>87602</v>
      </c>
      <c r="AU51" s="10">
        <v>216711</v>
      </c>
      <c r="AV51" s="10">
        <v>559483</v>
      </c>
      <c r="AW51" s="10">
        <v>792018</v>
      </c>
      <c r="AX51" s="10">
        <v>137731</v>
      </c>
      <c r="AY51" s="10">
        <v>288113</v>
      </c>
      <c r="AZ51" s="10">
        <v>2434003</v>
      </c>
      <c r="BA51" s="10">
        <v>3484350</v>
      </c>
      <c r="BB51" s="10">
        <v>19296</v>
      </c>
      <c r="BC51" s="10">
        <v>37105</v>
      </c>
      <c r="BD51" s="10"/>
      <c r="BE51" s="10"/>
      <c r="BF51" s="10">
        <v>372236</v>
      </c>
      <c r="BG51" s="10">
        <v>798556</v>
      </c>
      <c r="BH51" s="10">
        <v>754236</v>
      </c>
      <c r="BI51" s="10">
        <v>3547030</v>
      </c>
      <c r="BJ51" s="10">
        <v>660126</v>
      </c>
      <c r="BK51" s="10">
        <v>1185486</v>
      </c>
      <c r="BL51" s="108">
        <v>1631245</v>
      </c>
      <c r="BM51" s="108">
        <v>2866823</v>
      </c>
      <c r="BN51" s="10">
        <v>98016</v>
      </c>
      <c r="BO51" s="10">
        <v>457382</v>
      </c>
      <c r="BP51" s="88">
        <f t="shared" ref="BP51:BP55" si="10">SUM(B51+D51+F51+H51+J51+L51+N51+P51+R51+T51+V51+X51+Z51+AB51+AD51+AF51+AH51+AJ51+AL51+AN51+AP51+AR51+AT51+AV51+AX51+AZ51+BB51+BD51+BF51+BH51+BJ51+BL51+BN51)</f>
        <v>12169310.278000001</v>
      </c>
      <c r="BQ51" s="88">
        <f t="shared" ref="BQ51:BQ55" si="11">SUM(C51+E51+G51+I51+K51+M51+O51+Q51+S51+U51+W51+Y51+AA51+AC51+AE51+AG51+AI51+AK51+AM51+AO51+AQ51+AS51+AU51+AW51+AY51+BA51+BC51+BE51+BG51+BI51+BK51+BM51+BO51)</f>
        <v>22832587.364</v>
      </c>
    </row>
    <row r="52" spans="1:69" x14ac:dyDescent="0.25">
      <c r="A52" s="10" t="s">
        <v>274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>
        <v>316</v>
      </c>
      <c r="Q52" s="10">
        <v>316</v>
      </c>
      <c r="R52" s="10"/>
      <c r="S52" s="10"/>
      <c r="T52" s="10"/>
      <c r="U52" s="10"/>
      <c r="V52" s="10">
        <v>-1219</v>
      </c>
      <c r="W52" s="10">
        <v>7646</v>
      </c>
      <c r="X52" s="10"/>
      <c r="Y52" s="10"/>
      <c r="Z52" s="10">
        <v>472</v>
      </c>
      <c r="AA52" s="10">
        <v>472</v>
      </c>
      <c r="AB52" s="10"/>
      <c r="AC52" s="10"/>
      <c r="AD52" s="10"/>
      <c r="AE52" s="10"/>
      <c r="AF52" s="10"/>
      <c r="AG52" s="10"/>
      <c r="AH52" s="10">
        <v>-10</v>
      </c>
      <c r="AI52" s="10">
        <v>-10</v>
      </c>
      <c r="AJ52" s="10"/>
      <c r="AK52" s="10"/>
      <c r="AL52" s="10"/>
      <c r="AM52" s="10"/>
      <c r="AN52" s="10">
        <v>0</v>
      </c>
      <c r="AO52" s="10">
        <v>0</v>
      </c>
      <c r="AP52" s="10"/>
      <c r="AQ52" s="10"/>
      <c r="AR52" s="10"/>
      <c r="AS52" s="10"/>
      <c r="AT52" s="10"/>
      <c r="AU52" s="10"/>
      <c r="AV52" s="10"/>
      <c r="AW52" s="10"/>
      <c r="AX52" s="10">
        <v>56</v>
      </c>
      <c r="AY52" s="10">
        <v>1633</v>
      </c>
      <c r="AZ52" s="10"/>
      <c r="BA52" s="10"/>
      <c r="BB52" s="10"/>
      <c r="BC52" s="10"/>
      <c r="BD52" s="10"/>
      <c r="BE52" s="10"/>
      <c r="BF52" s="10">
        <v>-3733</v>
      </c>
      <c r="BG52" s="10">
        <v>-3733</v>
      </c>
      <c r="BH52" s="10">
        <v>13306</v>
      </c>
      <c r="BI52" s="10">
        <v>21681</v>
      </c>
      <c r="BJ52" s="10">
        <v>30</v>
      </c>
      <c r="BK52" s="10">
        <v>30</v>
      </c>
      <c r="BL52" s="10"/>
      <c r="BM52" s="10"/>
      <c r="BN52" s="10"/>
      <c r="BO52" s="10"/>
      <c r="BP52" s="88">
        <f t="shared" si="10"/>
        <v>9218</v>
      </c>
      <c r="BQ52" s="88">
        <f t="shared" si="11"/>
        <v>28035</v>
      </c>
    </row>
    <row r="53" spans="1:69" x14ac:dyDescent="0.25">
      <c r="A53" s="10" t="s">
        <v>275</v>
      </c>
      <c r="B53" s="10">
        <v>1905</v>
      </c>
      <c r="C53" s="10">
        <v>4374</v>
      </c>
      <c r="D53" s="10">
        <v>12726</v>
      </c>
      <c r="E53" s="10">
        <v>32331</v>
      </c>
      <c r="F53" s="10"/>
      <c r="G53" s="10"/>
      <c r="H53" s="10">
        <v>29106</v>
      </c>
      <c r="I53" s="10">
        <v>60943</v>
      </c>
      <c r="J53" s="10">
        <v>7338</v>
      </c>
      <c r="K53" s="10">
        <v>14410</v>
      </c>
      <c r="L53" s="10">
        <v>192182</v>
      </c>
      <c r="M53" s="10">
        <v>328027</v>
      </c>
      <c r="N53" s="10"/>
      <c r="O53" s="10"/>
      <c r="P53" s="10">
        <v>3578</v>
      </c>
      <c r="Q53" s="10">
        <v>4595</v>
      </c>
      <c r="R53" s="10">
        <v>21985</v>
      </c>
      <c r="S53" s="10">
        <v>43310</v>
      </c>
      <c r="T53" s="10">
        <v>2371</v>
      </c>
      <c r="U53" s="10">
        <v>6208</v>
      </c>
      <c r="V53" s="10">
        <v>-382216</v>
      </c>
      <c r="W53" s="10">
        <v>-549755</v>
      </c>
      <c r="X53" s="10">
        <v>11810</v>
      </c>
      <c r="Y53" s="10">
        <v>21890</v>
      </c>
      <c r="Z53" s="10">
        <v>107484</v>
      </c>
      <c r="AA53" s="10">
        <v>184838</v>
      </c>
      <c r="AB53" s="10">
        <v>24027</v>
      </c>
      <c r="AC53" s="10">
        <v>62882</v>
      </c>
      <c r="AD53" s="10">
        <v>41752</v>
      </c>
      <c r="AE53" s="10">
        <v>71818</v>
      </c>
      <c r="AF53" s="10">
        <v>2101</v>
      </c>
      <c r="AG53" s="10">
        <v>12581</v>
      </c>
      <c r="AH53" s="10">
        <v>-2275</v>
      </c>
      <c r="AI53" s="10">
        <v>-5027</v>
      </c>
      <c r="AJ53" s="10">
        <v>2283</v>
      </c>
      <c r="AK53" s="10">
        <v>3100</v>
      </c>
      <c r="AL53" s="10">
        <v>13981</v>
      </c>
      <c r="AM53" s="10">
        <v>25067</v>
      </c>
      <c r="AN53" s="10">
        <v>53861.762750000009</v>
      </c>
      <c r="AO53" s="10">
        <v>148227.35188</v>
      </c>
      <c r="AP53" s="10">
        <v>-7731</v>
      </c>
      <c r="AQ53" s="10">
        <v>-9449</v>
      </c>
      <c r="AR53" s="10">
        <v>17</v>
      </c>
      <c r="AS53" s="10">
        <v>347</v>
      </c>
      <c r="AT53" s="10">
        <v>31006</v>
      </c>
      <c r="AU53" s="10">
        <v>71298</v>
      </c>
      <c r="AV53" s="10">
        <v>29020</v>
      </c>
      <c r="AW53" s="10">
        <v>56086</v>
      </c>
      <c r="AX53" s="10">
        <v>-19557</v>
      </c>
      <c r="AY53" s="10">
        <v>-42714</v>
      </c>
      <c r="AZ53" s="10">
        <v>128315</v>
      </c>
      <c r="BA53" s="10">
        <v>185232</v>
      </c>
      <c r="BB53" s="10">
        <v>9915</v>
      </c>
      <c r="BC53" s="10">
        <v>18656</v>
      </c>
      <c r="BD53" s="10"/>
      <c r="BE53" s="10"/>
      <c r="BF53" s="10">
        <v>21807</v>
      </c>
      <c r="BG53" s="10">
        <v>47075</v>
      </c>
      <c r="BH53" s="10">
        <v>40381</v>
      </c>
      <c r="BI53" s="10">
        <v>180135</v>
      </c>
      <c r="BJ53" s="10">
        <v>131947</v>
      </c>
      <c r="BK53" s="10">
        <v>192493</v>
      </c>
      <c r="BL53" s="108">
        <v>802996</v>
      </c>
      <c r="BM53" s="108">
        <v>1772509</v>
      </c>
      <c r="BN53" s="10">
        <v>38670</v>
      </c>
      <c r="BO53" s="10">
        <v>188834</v>
      </c>
      <c r="BP53" s="88">
        <f t="shared" si="10"/>
        <v>1350785.76275</v>
      </c>
      <c r="BQ53" s="88">
        <f t="shared" si="11"/>
        <v>3130321.35188</v>
      </c>
    </row>
    <row r="54" spans="1:69" x14ac:dyDescent="0.25">
      <c r="A54" s="10" t="s">
        <v>229</v>
      </c>
      <c r="B54" s="10">
        <v>20527</v>
      </c>
      <c r="C54" s="10">
        <v>26418</v>
      </c>
      <c r="D54" s="10">
        <v>241796</v>
      </c>
      <c r="E54" s="10">
        <v>387872</v>
      </c>
      <c r="F54" s="10"/>
      <c r="G54" s="10"/>
      <c r="H54" s="10">
        <v>461265</v>
      </c>
      <c r="I54" s="10">
        <v>968255</v>
      </c>
      <c r="J54" s="10">
        <v>117139</v>
      </c>
      <c r="K54" s="10">
        <v>206293</v>
      </c>
      <c r="L54" s="10">
        <v>453768</v>
      </c>
      <c r="M54" s="10">
        <v>724474</v>
      </c>
      <c r="N54" s="10"/>
      <c r="O54" s="10"/>
      <c r="P54" s="10">
        <v>165</v>
      </c>
      <c r="Q54" s="10">
        <v>319</v>
      </c>
      <c r="R54" s="10">
        <v>172072</v>
      </c>
      <c r="S54" s="10">
        <v>298285</v>
      </c>
      <c r="T54" s="10">
        <v>45125</v>
      </c>
      <c r="U54" s="10">
        <v>90162</v>
      </c>
      <c r="V54" s="10">
        <v>831005</v>
      </c>
      <c r="W54" s="10">
        <v>1312611</v>
      </c>
      <c r="X54" s="10">
        <v>124831</v>
      </c>
      <c r="Y54" s="10">
        <v>229564</v>
      </c>
      <c r="Z54" s="10">
        <v>739010</v>
      </c>
      <c r="AA54" s="10">
        <v>1288565</v>
      </c>
      <c r="AB54" s="10">
        <v>273788</v>
      </c>
      <c r="AC54" s="10">
        <v>504333</v>
      </c>
      <c r="AD54" s="10">
        <v>36258</v>
      </c>
      <c r="AE54" s="10">
        <v>56369</v>
      </c>
      <c r="AF54" s="10">
        <v>39915</v>
      </c>
      <c r="AG54" s="10">
        <v>88807</v>
      </c>
      <c r="AH54" s="10">
        <v>5698</v>
      </c>
      <c r="AI54" s="10">
        <v>12424</v>
      </c>
      <c r="AJ54" s="10">
        <v>16254</v>
      </c>
      <c r="AK54" s="10">
        <v>28769</v>
      </c>
      <c r="AL54" s="10">
        <v>141150</v>
      </c>
      <c r="AM54" s="10">
        <v>192128</v>
      </c>
      <c r="AN54" s="10">
        <v>768641.51525000005</v>
      </c>
      <c r="AO54" s="10">
        <v>1156159.0121200001</v>
      </c>
      <c r="AP54" s="10">
        <v>5753</v>
      </c>
      <c r="AQ54" s="10">
        <v>6371</v>
      </c>
      <c r="AR54" s="10">
        <v>4</v>
      </c>
      <c r="AS54" s="10">
        <v>81</v>
      </c>
      <c r="AT54" s="10">
        <v>56596</v>
      </c>
      <c r="AU54" s="10">
        <v>145413</v>
      </c>
      <c r="AV54" s="10">
        <v>530463</v>
      </c>
      <c r="AW54" s="10">
        <v>735932</v>
      </c>
      <c r="AX54" s="10">
        <v>118230</v>
      </c>
      <c r="AY54" s="10">
        <v>247032</v>
      </c>
      <c r="AZ54" s="10">
        <v>2305688</v>
      </c>
      <c r="BA54" s="10">
        <v>3299118</v>
      </c>
      <c r="BB54" s="10">
        <v>9380</v>
      </c>
      <c r="BC54" s="10">
        <v>18449</v>
      </c>
      <c r="BD54" s="10"/>
      <c r="BE54" s="10"/>
      <c r="BF54" s="10">
        <v>346696</v>
      </c>
      <c r="BG54" s="10">
        <v>747748</v>
      </c>
      <c r="BH54" s="10">
        <v>727161</v>
      </c>
      <c r="BI54" s="10">
        <v>3388575</v>
      </c>
      <c r="BJ54" s="10">
        <v>528209</v>
      </c>
      <c r="BK54" s="10">
        <v>993023</v>
      </c>
      <c r="BL54" s="108">
        <v>828249</v>
      </c>
      <c r="BM54" s="108">
        <v>1094314</v>
      </c>
      <c r="BN54" s="10">
        <v>59346</v>
      </c>
      <c r="BO54" s="10">
        <v>268548</v>
      </c>
      <c r="BP54" s="88">
        <f t="shared" si="10"/>
        <v>10004182.515250001</v>
      </c>
      <c r="BQ54" s="88">
        <f t="shared" si="11"/>
        <v>18516411.012120001</v>
      </c>
    </row>
    <row r="55" spans="1:69" x14ac:dyDescent="0.25">
      <c r="A55" s="10" t="s">
        <v>230</v>
      </c>
      <c r="B55" s="10">
        <v>21639</v>
      </c>
      <c r="C55" s="10">
        <v>22285</v>
      </c>
      <c r="D55" s="10">
        <v>247592</v>
      </c>
      <c r="E55" s="10">
        <v>417352</v>
      </c>
      <c r="F55" s="10"/>
      <c r="G55" s="10"/>
      <c r="H55" s="10">
        <v>544794</v>
      </c>
      <c r="I55" s="10">
        <v>1125205</v>
      </c>
      <c r="J55" s="10">
        <v>89247</v>
      </c>
      <c r="K55" s="10">
        <v>169946</v>
      </c>
      <c r="L55" s="10">
        <v>486255</v>
      </c>
      <c r="M55" s="10">
        <v>984369</v>
      </c>
      <c r="N55" s="10"/>
      <c r="O55" s="10"/>
      <c r="P55" s="10">
        <v>1433</v>
      </c>
      <c r="Q55" s="10">
        <v>5357</v>
      </c>
      <c r="R55" s="10">
        <v>155712</v>
      </c>
      <c r="S55" s="10">
        <v>305227</v>
      </c>
      <c r="T55" s="10">
        <v>37743</v>
      </c>
      <c r="U55" s="10">
        <v>62126</v>
      </c>
      <c r="V55" s="10">
        <v>1015259</v>
      </c>
      <c r="W55" s="10">
        <v>2070104</v>
      </c>
      <c r="X55" s="10">
        <v>144053</v>
      </c>
      <c r="Y55" s="10">
        <v>249641</v>
      </c>
      <c r="Z55" s="10">
        <v>1143247</v>
      </c>
      <c r="AA55" s="10">
        <v>2298058</v>
      </c>
      <c r="AB55" s="10">
        <v>220277</v>
      </c>
      <c r="AC55" s="10">
        <v>423477</v>
      </c>
      <c r="AD55" s="10">
        <v>26827</v>
      </c>
      <c r="AE55" s="10">
        <v>52611</v>
      </c>
      <c r="AF55" s="10">
        <v>47183</v>
      </c>
      <c r="AG55" s="10">
        <v>93720</v>
      </c>
      <c r="AH55" s="10">
        <v>7172</v>
      </c>
      <c r="AI55" s="10">
        <v>13824</v>
      </c>
      <c r="AJ55" s="10">
        <v>16991</v>
      </c>
      <c r="AK55" s="10">
        <v>32421</v>
      </c>
      <c r="AL55" s="10">
        <v>132911</v>
      </c>
      <c r="AM55" s="10">
        <v>218991</v>
      </c>
      <c r="AN55" s="10">
        <v>819540.98225</v>
      </c>
      <c r="AO55" s="10">
        <v>1155235.7071200002</v>
      </c>
      <c r="AP55" s="10">
        <v>15225</v>
      </c>
      <c r="AQ55" s="10">
        <v>17560</v>
      </c>
      <c r="AR55" s="10">
        <v>131</v>
      </c>
      <c r="AS55" s="10">
        <v>262</v>
      </c>
      <c r="AT55" s="10">
        <v>71805</v>
      </c>
      <c r="AU55" s="10">
        <v>150911</v>
      </c>
      <c r="AV55" s="10">
        <v>446326</v>
      </c>
      <c r="AW55" s="10">
        <v>689011</v>
      </c>
      <c r="AX55" s="10">
        <v>120462</v>
      </c>
      <c r="AY55" s="10">
        <v>244469</v>
      </c>
      <c r="AZ55" s="10">
        <v>1958668</v>
      </c>
      <c r="BA55" s="10">
        <v>3908261</v>
      </c>
      <c r="BB55" s="10">
        <v>8480</v>
      </c>
      <c r="BC55" s="10">
        <v>17786</v>
      </c>
      <c r="BD55" s="10"/>
      <c r="BE55" s="10"/>
      <c r="BF55" s="10">
        <v>303581</v>
      </c>
      <c r="BG55" s="10">
        <v>638299</v>
      </c>
      <c r="BH55" s="10">
        <v>648880</v>
      </c>
      <c r="BI55" s="10">
        <v>2582480</v>
      </c>
      <c r="BJ55" s="10">
        <v>541481</v>
      </c>
      <c r="BK55" s="10">
        <v>1149386</v>
      </c>
      <c r="BL55" s="108">
        <v>1009931</v>
      </c>
      <c r="BM55" s="108">
        <v>1378919</v>
      </c>
      <c r="BN55" s="10">
        <v>364072</v>
      </c>
      <c r="BO55" s="10">
        <v>666657</v>
      </c>
      <c r="BP55" s="88">
        <f t="shared" si="10"/>
        <v>10646917.982250001</v>
      </c>
      <c r="BQ55" s="88">
        <f t="shared" si="11"/>
        <v>21143950.707120001</v>
      </c>
    </row>
    <row r="57" spans="1:69" x14ac:dyDescent="0.25">
      <c r="A57" s="29" t="s">
        <v>222</v>
      </c>
    </row>
    <row r="58" spans="1:69" x14ac:dyDescent="0.25">
      <c r="A58" s="1" t="s">
        <v>0</v>
      </c>
      <c r="B58" s="116" t="s">
        <v>1</v>
      </c>
      <c r="C58" s="117"/>
      <c r="D58" s="116" t="s">
        <v>285</v>
      </c>
      <c r="E58" s="117"/>
      <c r="F58" s="116" t="s">
        <v>2</v>
      </c>
      <c r="G58" s="117"/>
      <c r="H58" s="116" t="s">
        <v>3</v>
      </c>
      <c r="I58" s="117"/>
      <c r="J58" s="116" t="s">
        <v>4</v>
      </c>
      <c r="K58" s="117"/>
      <c r="L58" s="116" t="s">
        <v>286</v>
      </c>
      <c r="M58" s="117"/>
      <c r="N58" s="116" t="s">
        <v>6</v>
      </c>
      <c r="O58" s="117"/>
      <c r="P58" s="116" t="s">
        <v>5</v>
      </c>
      <c r="Q58" s="117"/>
      <c r="R58" s="116" t="s">
        <v>7</v>
      </c>
      <c r="S58" s="117"/>
      <c r="T58" s="116" t="s">
        <v>287</v>
      </c>
      <c r="U58" s="117"/>
      <c r="V58" s="116" t="s">
        <v>8</v>
      </c>
      <c r="W58" s="117"/>
      <c r="X58" s="116" t="s">
        <v>288</v>
      </c>
      <c r="Y58" s="117"/>
      <c r="Z58" s="116" t="s">
        <v>9</v>
      </c>
      <c r="AA58" s="117"/>
      <c r="AB58" s="116" t="s">
        <v>10</v>
      </c>
      <c r="AC58" s="117"/>
      <c r="AD58" s="116" t="s">
        <v>289</v>
      </c>
      <c r="AE58" s="117"/>
      <c r="AF58" s="116" t="s">
        <v>11</v>
      </c>
      <c r="AG58" s="117"/>
      <c r="AH58" s="116" t="s">
        <v>12</v>
      </c>
      <c r="AI58" s="117"/>
      <c r="AJ58" s="116" t="s">
        <v>290</v>
      </c>
      <c r="AK58" s="117"/>
      <c r="AL58" s="116" t="s">
        <v>299</v>
      </c>
      <c r="AM58" s="117"/>
      <c r="AN58" s="116" t="s">
        <v>13</v>
      </c>
      <c r="AO58" s="117"/>
      <c r="AP58" s="116" t="s">
        <v>291</v>
      </c>
      <c r="AQ58" s="117"/>
      <c r="AR58" s="116" t="s">
        <v>292</v>
      </c>
      <c r="AS58" s="117"/>
      <c r="AT58" s="116" t="s">
        <v>307</v>
      </c>
      <c r="AU58" s="117"/>
      <c r="AV58" s="116" t="s">
        <v>293</v>
      </c>
      <c r="AW58" s="117"/>
      <c r="AX58" s="116" t="s">
        <v>14</v>
      </c>
      <c r="AY58" s="117"/>
      <c r="AZ58" s="116" t="s">
        <v>15</v>
      </c>
      <c r="BA58" s="117"/>
      <c r="BB58" s="116" t="s">
        <v>16</v>
      </c>
      <c r="BC58" s="117"/>
      <c r="BD58" s="116" t="s">
        <v>17</v>
      </c>
      <c r="BE58" s="117"/>
      <c r="BF58" s="116" t="s">
        <v>18</v>
      </c>
      <c r="BG58" s="117"/>
      <c r="BH58" s="116" t="s">
        <v>294</v>
      </c>
      <c r="BI58" s="117"/>
      <c r="BJ58" s="116" t="s">
        <v>295</v>
      </c>
      <c r="BK58" s="117"/>
      <c r="BL58" s="116" t="s">
        <v>19</v>
      </c>
      <c r="BM58" s="117"/>
      <c r="BN58" s="116" t="s">
        <v>20</v>
      </c>
      <c r="BO58" s="117"/>
      <c r="BP58" s="118" t="s">
        <v>21</v>
      </c>
      <c r="BQ58" s="119"/>
    </row>
    <row r="59" spans="1:69" ht="30" x14ac:dyDescent="0.25">
      <c r="A59" s="1"/>
      <c r="B59" s="67" t="s">
        <v>296</v>
      </c>
      <c r="C59" s="68" t="s">
        <v>297</v>
      </c>
      <c r="D59" s="67" t="s">
        <v>296</v>
      </c>
      <c r="E59" s="68" t="s">
        <v>297</v>
      </c>
      <c r="F59" s="67" t="s">
        <v>296</v>
      </c>
      <c r="G59" s="68" t="s">
        <v>297</v>
      </c>
      <c r="H59" s="67" t="s">
        <v>296</v>
      </c>
      <c r="I59" s="68" t="s">
        <v>297</v>
      </c>
      <c r="J59" s="67" t="s">
        <v>296</v>
      </c>
      <c r="K59" s="68" t="s">
        <v>297</v>
      </c>
      <c r="L59" s="67" t="s">
        <v>296</v>
      </c>
      <c r="M59" s="68" t="s">
        <v>297</v>
      </c>
      <c r="N59" s="67" t="s">
        <v>296</v>
      </c>
      <c r="O59" s="68" t="s">
        <v>297</v>
      </c>
      <c r="P59" s="67" t="s">
        <v>296</v>
      </c>
      <c r="Q59" s="68" t="s">
        <v>297</v>
      </c>
      <c r="R59" s="67" t="s">
        <v>296</v>
      </c>
      <c r="S59" s="68" t="s">
        <v>297</v>
      </c>
      <c r="T59" s="67" t="s">
        <v>296</v>
      </c>
      <c r="U59" s="68" t="s">
        <v>297</v>
      </c>
      <c r="V59" s="67" t="s">
        <v>296</v>
      </c>
      <c r="W59" s="68" t="s">
        <v>297</v>
      </c>
      <c r="X59" s="67" t="s">
        <v>296</v>
      </c>
      <c r="Y59" s="68" t="s">
        <v>297</v>
      </c>
      <c r="Z59" s="67" t="s">
        <v>296</v>
      </c>
      <c r="AA59" s="68" t="s">
        <v>297</v>
      </c>
      <c r="AB59" s="67" t="s">
        <v>296</v>
      </c>
      <c r="AC59" s="68" t="s">
        <v>297</v>
      </c>
      <c r="AD59" s="67" t="s">
        <v>296</v>
      </c>
      <c r="AE59" s="68" t="s">
        <v>297</v>
      </c>
      <c r="AF59" s="67" t="s">
        <v>296</v>
      </c>
      <c r="AG59" s="68" t="s">
        <v>297</v>
      </c>
      <c r="AH59" s="67" t="s">
        <v>296</v>
      </c>
      <c r="AI59" s="68" t="s">
        <v>297</v>
      </c>
      <c r="AJ59" s="67" t="s">
        <v>296</v>
      </c>
      <c r="AK59" s="68" t="s">
        <v>297</v>
      </c>
      <c r="AL59" s="67" t="s">
        <v>296</v>
      </c>
      <c r="AM59" s="68" t="s">
        <v>297</v>
      </c>
      <c r="AN59" s="67" t="s">
        <v>296</v>
      </c>
      <c r="AO59" s="68" t="s">
        <v>297</v>
      </c>
      <c r="AP59" s="67" t="s">
        <v>296</v>
      </c>
      <c r="AQ59" s="68" t="s">
        <v>297</v>
      </c>
      <c r="AR59" s="67" t="s">
        <v>296</v>
      </c>
      <c r="AS59" s="68" t="s">
        <v>297</v>
      </c>
      <c r="AT59" s="67" t="s">
        <v>296</v>
      </c>
      <c r="AU59" s="68" t="s">
        <v>297</v>
      </c>
      <c r="AV59" s="67" t="s">
        <v>296</v>
      </c>
      <c r="AW59" s="68" t="s">
        <v>297</v>
      </c>
      <c r="AX59" s="67" t="s">
        <v>296</v>
      </c>
      <c r="AY59" s="68" t="s">
        <v>297</v>
      </c>
      <c r="AZ59" s="67" t="s">
        <v>296</v>
      </c>
      <c r="BA59" s="68" t="s">
        <v>297</v>
      </c>
      <c r="BB59" s="67" t="s">
        <v>296</v>
      </c>
      <c r="BC59" s="68" t="s">
        <v>297</v>
      </c>
      <c r="BD59" s="67" t="s">
        <v>296</v>
      </c>
      <c r="BE59" s="68" t="s">
        <v>297</v>
      </c>
      <c r="BF59" s="67" t="s">
        <v>296</v>
      </c>
      <c r="BG59" s="68" t="s">
        <v>297</v>
      </c>
      <c r="BH59" s="67" t="s">
        <v>296</v>
      </c>
      <c r="BI59" s="68" t="s">
        <v>297</v>
      </c>
      <c r="BJ59" s="67" t="s">
        <v>296</v>
      </c>
      <c r="BK59" s="68" t="s">
        <v>297</v>
      </c>
      <c r="BL59" s="67" t="s">
        <v>296</v>
      </c>
      <c r="BM59" s="68" t="s">
        <v>297</v>
      </c>
      <c r="BN59" s="67" t="s">
        <v>296</v>
      </c>
      <c r="BO59" s="68" t="s">
        <v>297</v>
      </c>
      <c r="BP59" s="84" t="s">
        <v>280</v>
      </c>
      <c r="BQ59" s="85" t="s">
        <v>281</v>
      </c>
    </row>
    <row r="60" spans="1:69" x14ac:dyDescent="0.25">
      <c r="A60" s="10" t="s">
        <v>271</v>
      </c>
      <c r="B60" s="10">
        <v>98783</v>
      </c>
      <c r="C60" s="10">
        <v>129814</v>
      </c>
      <c r="D60" s="10"/>
      <c r="E60" s="10"/>
      <c r="F60" s="10"/>
      <c r="G60" s="10"/>
      <c r="H60" s="10">
        <v>66305</v>
      </c>
      <c r="I60" s="10">
        <v>234563</v>
      </c>
      <c r="J60" s="10">
        <v>99058</v>
      </c>
      <c r="K60" s="10">
        <v>212131</v>
      </c>
      <c r="L60" s="10">
        <v>20581</v>
      </c>
      <c r="M60" s="10">
        <v>61428</v>
      </c>
      <c r="N60" s="10"/>
      <c r="O60" s="10"/>
      <c r="P60" s="10"/>
      <c r="Q60" s="10"/>
      <c r="R60" s="10">
        <v>55088</v>
      </c>
      <c r="S60" s="10">
        <v>117995</v>
      </c>
      <c r="T60" s="10">
        <v>2</v>
      </c>
      <c r="U60" s="10">
        <v>2</v>
      </c>
      <c r="V60" s="10">
        <v>4814</v>
      </c>
      <c r="W60" s="10">
        <v>9167</v>
      </c>
      <c r="X60" s="10"/>
      <c r="Y60" s="10"/>
      <c r="Z60" s="10">
        <v>95673</v>
      </c>
      <c r="AA60" s="10">
        <v>359793</v>
      </c>
      <c r="AB60" s="10">
        <v>104873</v>
      </c>
      <c r="AC60" s="10">
        <v>257927</v>
      </c>
      <c r="AD60" s="10"/>
      <c r="AE60" s="10"/>
      <c r="AF60" s="10">
        <v>28233</v>
      </c>
      <c r="AG60" s="10">
        <v>65052</v>
      </c>
      <c r="AH60" s="10">
        <v>201</v>
      </c>
      <c r="AI60" s="10">
        <v>300</v>
      </c>
      <c r="AJ60" s="10"/>
      <c r="AK60" s="10"/>
      <c r="AL60" s="10"/>
      <c r="AM60" s="10"/>
      <c r="AN60" s="10">
        <v>177283.94769999996</v>
      </c>
      <c r="AO60" s="10">
        <v>406102.11069999996</v>
      </c>
      <c r="AP60" s="10"/>
      <c r="AQ60" s="10"/>
      <c r="AR60" s="10">
        <v>9954</v>
      </c>
      <c r="AS60" s="10">
        <v>21417</v>
      </c>
      <c r="AT60" s="10">
        <v>86880</v>
      </c>
      <c r="AU60" s="10">
        <v>170123</v>
      </c>
      <c r="AV60" s="10"/>
      <c r="AW60" s="10"/>
      <c r="AX60" s="10">
        <v>15631</v>
      </c>
      <c r="AY60" s="10">
        <v>28733</v>
      </c>
      <c r="AZ60" s="10">
        <v>77248</v>
      </c>
      <c r="BA60" s="10">
        <v>143283</v>
      </c>
      <c r="BB60" s="10">
        <v>1240</v>
      </c>
      <c r="BC60" s="10">
        <v>3147</v>
      </c>
      <c r="BD60" s="10"/>
      <c r="BE60" s="10"/>
      <c r="BF60" s="10">
        <v>803399</v>
      </c>
      <c r="BG60" s="10">
        <v>1703168</v>
      </c>
      <c r="BH60" s="10">
        <v>1426332</v>
      </c>
      <c r="BI60" s="10">
        <v>3568626</v>
      </c>
      <c r="BJ60" s="10">
        <v>299847</v>
      </c>
      <c r="BK60" s="10">
        <v>511521</v>
      </c>
      <c r="BL60" s="108">
        <v>554437</v>
      </c>
      <c r="BM60" s="108">
        <v>858486</v>
      </c>
      <c r="BN60" s="10">
        <v>19625</v>
      </c>
      <c r="BO60" s="10">
        <v>31638</v>
      </c>
      <c r="BP60" s="88">
        <f t="shared" ref="BP60:BP64" si="12">SUM(B60+D60+F60+H60+J60+L60+N60+P60+R60+T60+V60+X60+Z60+AB60+AD60+AF60+AH60+AJ60+AL60+AN60+AP60+AR60+AT60+AV60+AX60+AZ60+BB60+BD60+BF60+BH60+BJ60+BL60+BN60)</f>
        <v>4045487.9476999999</v>
      </c>
      <c r="BQ60" s="88">
        <f t="shared" ref="BQ60:BQ64" si="13">SUM(C60+E60+G60+I60+K60+M60+O60+Q60+S60+U60+W60+Y60+AA60+AC60+AE60+AG60+AI60+AK60+AM60+AO60+AQ60+AS60+AU60+AW60+AY60+BA60+BC60+BE60+BG60+BI60+BK60+BM60+BO60)</f>
        <v>8894416.1107000001</v>
      </c>
    </row>
    <row r="61" spans="1:69" x14ac:dyDescent="0.25">
      <c r="A61" s="10" t="s">
        <v>274</v>
      </c>
      <c r="B61" s="10"/>
      <c r="C61" s="10"/>
      <c r="D61" s="10"/>
      <c r="E61" s="10"/>
      <c r="F61" s="10"/>
      <c r="G61" s="10"/>
      <c r="H61" s="10"/>
      <c r="I61" s="10"/>
      <c r="J61" s="10">
        <v>575</v>
      </c>
      <c r="K61" s="10">
        <v>665</v>
      </c>
      <c r="L61" s="10"/>
      <c r="M61" s="10"/>
      <c r="N61" s="10"/>
      <c r="O61" s="10"/>
      <c r="P61" s="10"/>
      <c r="Q61" s="10"/>
      <c r="R61" s="10">
        <v>7500</v>
      </c>
      <c r="S61" s="10">
        <v>13331</v>
      </c>
      <c r="T61" s="10"/>
      <c r="U61" s="10"/>
      <c r="V61" s="10">
        <v>-395</v>
      </c>
      <c r="W61" s="10">
        <v>764</v>
      </c>
      <c r="X61" s="10"/>
      <c r="Y61" s="10"/>
      <c r="Z61" s="10">
        <v>11195</v>
      </c>
      <c r="AA61" s="10">
        <v>11195</v>
      </c>
      <c r="AB61" s="10">
        <v>1599</v>
      </c>
      <c r="AC61" s="10">
        <v>4456</v>
      </c>
      <c r="AD61" s="10"/>
      <c r="AE61" s="10"/>
      <c r="AF61" s="10">
        <v>2487</v>
      </c>
      <c r="AG61" s="10">
        <v>4799</v>
      </c>
      <c r="AH61" s="10"/>
      <c r="AI61" s="10"/>
      <c r="AJ61" s="10"/>
      <c r="AK61" s="10"/>
      <c r="AL61" s="10"/>
      <c r="AM61" s="10"/>
      <c r="AN61" s="10">
        <v>0</v>
      </c>
      <c r="AO61" s="10">
        <v>0</v>
      </c>
      <c r="AP61" s="10"/>
      <c r="AQ61" s="10"/>
      <c r="AR61" s="10">
        <v>-217</v>
      </c>
      <c r="AS61" s="10">
        <v>3368</v>
      </c>
      <c r="AT61" s="10">
        <v>1235</v>
      </c>
      <c r="AU61" s="10">
        <v>1724</v>
      </c>
      <c r="AV61" s="10"/>
      <c r="AW61" s="10"/>
      <c r="AX61" s="10"/>
      <c r="AY61" s="10"/>
      <c r="AZ61" s="10">
        <v>9098</v>
      </c>
      <c r="BA61" s="10">
        <v>12054</v>
      </c>
      <c r="BB61" s="10"/>
      <c r="BC61" s="10"/>
      <c r="BD61" s="10"/>
      <c r="BE61" s="10"/>
      <c r="BF61" s="10">
        <v>105478</v>
      </c>
      <c r="BG61" s="10">
        <v>215107</v>
      </c>
      <c r="BH61" s="10">
        <v>209395</v>
      </c>
      <c r="BI61" s="10">
        <v>210291</v>
      </c>
      <c r="BJ61" s="10">
        <v>3359</v>
      </c>
      <c r="BK61" s="10">
        <v>3443</v>
      </c>
      <c r="BL61" s="108">
        <v>139554</v>
      </c>
      <c r="BM61" s="108">
        <v>139554</v>
      </c>
      <c r="BN61" s="10"/>
      <c r="BO61" s="10"/>
      <c r="BP61" s="88">
        <f t="shared" si="12"/>
        <v>490863</v>
      </c>
      <c r="BQ61" s="88">
        <f t="shared" si="13"/>
        <v>620751</v>
      </c>
    </row>
    <row r="62" spans="1:69" x14ac:dyDescent="0.25">
      <c r="A62" s="10" t="s">
        <v>275</v>
      </c>
      <c r="B62" s="10">
        <v>64076</v>
      </c>
      <c r="C62" s="10">
        <v>84123</v>
      </c>
      <c r="D62" s="10"/>
      <c r="E62" s="10"/>
      <c r="F62" s="10"/>
      <c r="G62" s="10"/>
      <c r="H62" s="10">
        <v>32808</v>
      </c>
      <c r="I62" s="10">
        <v>166451</v>
      </c>
      <c r="J62" s="10">
        <v>79098</v>
      </c>
      <c r="K62" s="10">
        <v>137331</v>
      </c>
      <c r="L62" s="10">
        <v>7250</v>
      </c>
      <c r="M62" s="10">
        <v>34632</v>
      </c>
      <c r="N62" s="10"/>
      <c r="O62" s="10"/>
      <c r="P62" s="10"/>
      <c r="Q62" s="10"/>
      <c r="R62" s="10">
        <v>38186</v>
      </c>
      <c r="S62" s="10">
        <v>82353</v>
      </c>
      <c r="T62" s="10">
        <v>3</v>
      </c>
      <c r="U62" s="10">
        <v>3</v>
      </c>
      <c r="V62" s="10">
        <v>-2671</v>
      </c>
      <c r="W62" s="10">
        <v>-5659</v>
      </c>
      <c r="X62" s="10"/>
      <c r="Y62" s="10"/>
      <c r="Z62" s="10">
        <v>62966</v>
      </c>
      <c r="AA62" s="10">
        <v>257953</v>
      </c>
      <c r="AB62" s="10">
        <v>54723</v>
      </c>
      <c r="AC62" s="10">
        <v>88829</v>
      </c>
      <c r="AD62" s="10"/>
      <c r="AE62" s="10"/>
      <c r="AF62" s="10">
        <v>1902</v>
      </c>
      <c r="AG62" s="10">
        <v>26817</v>
      </c>
      <c r="AH62" s="10">
        <v>-161</v>
      </c>
      <c r="AI62" s="10">
        <v>-243</v>
      </c>
      <c r="AJ62" s="10"/>
      <c r="AK62" s="10"/>
      <c r="AL62" s="10"/>
      <c r="AM62" s="10"/>
      <c r="AN62" s="10">
        <v>22609.109970001417</v>
      </c>
      <c r="AO62" s="10">
        <v>152055.5251700028</v>
      </c>
      <c r="AP62" s="10"/>
      <c r="AQ62" s="10"/>
      <c r="AR62" s="10">
        <v>3170</v>
      </c>
      <c r="AS62" s="10">
        <v>6822</v>
      </c>
      <c r="AT62" s="10">
        <v>47523</v>
      </c>
      <c r="AU62" s="10">
        <v>83491</v>
      </c>
      <c r="AV62" s="10"/>
      <c r="AW62" s="10"/>
      <c r="AX62" s="10">
        <v>-6528</v>
      </c>
      <c r="AY62" s="10">
        <v>-12815</v>
      </c>
      <c r="AZ62" s="10">
        <v>66914</v>
      </c>
      <c r="BA62" s="10">
        <v>122920</v>
      </c>
      <c r="BB62" s="10">
        <v>377</v>
      </c>
      <c r="BC62" s="10">
        <v>957</v>
      </c>
      <c r="BD62" s="10"/>
      <c r="BE62" s="10"/>
      <c r="BF62" s="10">
        <v>750000</v>
      </c>
      <c r="BG62" s="10">
        <v>1567159</v>
      </c>
      <c r="BH62" s="10">
        <v>534246</v>
      </c>
      <c r="BI62" s="10">
        <v>1375924</v>
      </c>
      <c r="BJ62" s="10">
        <v>160136</v>
      </c>
      <c r="BK62" s="10">
        <v>205190</v>
      </c>
      <c r="BL62" s="108">
        <v>285488</v>
      </c>
      <c r="BM62" s="108">
        <v>442982</v>
      </c>
      <c r="BN62" s="10">
        <v>13636</v>
      </c>
      <c r="BO62" s="10">
        <v>17741</v>
      </c>
      <c r="BP62" s="88">
        <f t="shared" si="12"/>
        <v>2215751.1099700015</v>
      </c>
      <c r="BQ62" s="88">
        <f t="shared" si="13"/>
        <v>4835016.5251700031</v>
      </c>
    </row>
    <row r="63" spans="1:69" x14ac:dyDescent="0.25">
      <c r="A63" s="10" t="s">
        <v>229</v>
      </c>
      <c r="B63" s="10">
        <v>34707</v>
      </c>
      <c r="C63" s="10">
        <v>45691</v>
      </c>
      <c r="D63" s="10"/>
      <c r="E63" s="10"/>
      <c r="F63" s="10"/>
      <c r="G63" s="10"/>
      <c r="H63" s="10">
        <v>33497</v>
      </c>
      <c r="I63" s="10">
        <v>68112</v>
      </c>
      <c r="J63" s="10">
        <v>20536</v>
      </c>
      <c r="K63" s="10">
        <v>75465</v>
      </c>
      <c r="L63" s="10">
        <v>13331</v>
      </c>
      <c r="M63" s="10">
        <v>26796</v>
      </c>
      <c r="N63" s="10"/>
      <c r="O63" s="10"/>
      <c r="P63" s="10"/>
      <c r="Q63" s="10"/>
      <c r="R63" s="10">
        <v>24402</v>
      </c>
      <c r="S63" s="10">
        <v>48973</v>
      </c>
      <c r="T63" s="10">
        <v>-1</v>
      </c>
      <c r="U63" s="10">
        <v>-1</v>
      </c>
      <c r="V63" s="10">
        <v>1749</v>
      </c>
      <c r="W63" s="10">
        <v>4272</v>
      </c>
      <c r="X63" s="10"/>
      <c r="Y63" s="10"/>
      <c r="Z63" s="10">
        <v>43902</v>
      </c>
      <c r="AA63" s="10">
        <v>113035</v>
      </c>
      <c r="AB63" s="10">
        <v>51749</v>
      </c>
      <c r="AC63" s="10">
        <v>173554</v>
      </c>
      <c r="AD63" s="10"/>
      <c r="AE63" s="10"/>
      <c r="AF63" s="10">
        <v>28817</v>
      </c>
      <c r="AG63" s="10">
        <v>43035</v>
      </c>
      <c r="AH63" s="10">
        <v>40</v>
      </c>
      <c r="AI63" s="10">
        <v>57</v>
      </c>
      <c r="AJ63" s="10"/>
      <c r="AK63" s="10"/>
      <c r="AL63" s="10"/>
      <c r="AM63" s="10"/>
      <c r="AN63" s="10">
        <v>154674.83772999854</v>
      </c>
      <c r="AO63" s="10">
        <v>254046.58552999716</v>
      </c>
      <c r="AP63" s="10"/>
      <c r="AQ63" s="10"/>
      <c r="AR63" s="10">
        <v>6566</v>
      </c>
      <c r="AS63" s="10">
        <v>17963</v>
      </c>
      <c r="AT63" s="10">
        <v>40592</v>
      </c>
      <c r="AU63" s="10">
        <v>88356</v>
      </c>
      <c r="AV63" s="10"/>
      <c r="AW63" s="10"/>
      <c r="AX63" s="10">
        <v>9103</v>
      </c>
      <c r="AY63" s="10">
        <v>15918</v>
      </c>
      <c r="AZ63" s="10">
        <v>19432</v>
      </c>
      <c r="BA63" s="10">
        <v>32417</v>
      </c>
      <c r="BB63" s="10">
        <v>863</v>
      </c>
      <c r="BC63" s="10">
        <v>2190</v>
      </c>
      <c r="BD63" s="10"/>
      <c r="BE63" s="10"/>
      <c r="BF63" s="10">
        <v>158877</v>
      </c>
      <c r="BG63" s="10">
        <v>351116</v>
      </c>
      <c r="BH63" s="10">
        <v>1101481</v>
      </c>
      <c r="BI63" s="10">
        <v>2402993</v>
      </c>
      <c r="BJ63" s="10">
        <v>143070</v>
      </c>
      <c r="BK63" s="10">
        <v>309774</v>
      </c>
      <c r="BL63" s="108">
        <v>408503</v>
      </c>
      <c r="BM63" s="108">
        <v>555058</v>
      </c>
      <c r="BN63" s="10">
        <v>5989</v>
      </c>
      <c r="BO63" s="10">
        <v>13897</v>
      </c>
      <c r="BP63" s="88">
        <f t="shared" si="12"/>
        <v>2301879.8377299984</v>
      </c>
      <c r="BQ63" s="88">
        <f t="shared" si="13"/>
        <v>4642717.585529997</v>
      </c>
    </row>
    <row r="64" spans="1:69" x14ac:dyDescent="0.25">
      <c r="A64" s="10" t="s">
        <v>230</v>
      </c>
      <c r="B64" s="10">
        <v>41342</v>
      </c>
      <c r="C64" s="10">
        <v>77900</v>
      </c>
      <c r="D64" s="10"/>
      <c r="E64" s="10"/>
      <c r="F64" s="10"/>
      <c r="G64" s="10"/>
      <c r="H64" s="10">
        <v>29937</v>
      </c>
      <c r="I64" s="10">
        <v>59417</v>
      </c>
      <c r="J64" s="10">
        <v>7139</v>
      </c>
      <c r="K64" s="10">
        <v>40403</v>
      </c>
      <c r="L64" s="10">
        <v>16768</v>
      </c>
      <c r="M64" s="10">
        <v>29332</v>
      </c>
      <c r="N64" s="10"/>
      <c r="O64" s="10"/>
      <c r="P64" s="10"/>
      <c r="Q64" s="10"/>
      <c r="R64" s="10">
        <v>21994</v>
      </c>
      <c r="S64" s="10">
        <v>42611</v>
      </c>
      <c r="T64" s="10">
        <v>-1</v>
      </c>
      <c r="U64" s="10">
        <v>-1</v>
      </c>
      <c r="V64" s="10">
        <v>2857</v>
      </c>
      <c r="W64" s="10">
        <v>6193</v>
      </c>
      <c r="X64" s="10"/>
      <c r="Y64" s="10"/>
      <c r="Z64" s="10">
        <v>40905</v>
      </c>
      <c r="AA64" s="10">
        <v>73146</v>
      </c>
      <c r="AB64" s="10">
        <v>67395</v>
      </c>
      <c r="AC64" s="10">
        <v>138847</v>
      </c>
      <c r="AD64" s="10"/>
      <c r="AE64" s="10"/>
      <c r="AF64" s="10">
        <v>23568</v>
      </c>
      <c r="AG64" s="10">
        <v>44495</v>
      </c>
      <c r="AH64" s="10">
        <v>21</v>
      </c>
      <c r="AI64" s="10">
        <v>52</v>
      </c>
      <c r="AJ64" s="10"/>
      <c r="AK64" s="10"/>
      <c r="AL64" s="10"/>
      <c r="AM64" s="10"/>
      <c r="AN64" s="10">
        <v>186953.86072999853</v>
      </c>
      <c r="AO64" s="10">
        <v>314003.44852999714</v>
      </c>
      <c r="AP64" s="10"/>
      <c r="AQ64" s="10"/>
      <c r="AR64" s="10">
        <v>11654</v>
      </c>
      <c r="AS64" s="10">
        <v>24379</v>
      </c>
      <c r="AT64" s="10">
        <v>38721</v>
      </c>
      <c r="AU64" s="10">
        <v>62163</v>
      </c>
      <c r="AV64" s="10"/>
      <c r="AW64" s="10"/>
      <c r="AX64" s="10">
        <v>7095</v>
      </c>
      <c r="AY64" s="10">
        <v>14585</v>
      </c>
      <c r="AZ64" s="10">
        <v>16671</v>
      </c>
      <c r="BA64" s="10">
        <v>30053</v>
      </c>
      <c r="BB64" s="10">
        <v>761</v>
      </c>
      <c r="BC64" s="10">
        <v>1462</v>
      </c>
      <c r="BD64" s="10"/>
      <c r="BE64" s="10"/>
      <c r="BF64" s="10">
        <v>188552</v>
      </c>
      <c r="BG64" s="10">
        <v>368940</v>
      </c>
      <c r="BH64" s="10">
        <v>1041921</v>
      </c>
      <c r="BI64" s="10">
        <v>2097957</v>
      </c>
      <c r="BJ64" s="10">
        <v>96311</v>
      </c>
      <c r="BK64" s="10">
        <v>255644</v>
      </c>
      <c r="BL64" s="108">
        <v>368326</v>
      </c>
      <c r="BM64" s="108">
        <v>521525</v>
      </c>
      <c r="BN64" s="10">
        <v>4498</v>
      </c>
      <c r="BO64" s="10">
        <v>8413</v>
      </c>
      <c r="BP64" s="88">
        <f t="shared" si="12"/>
        <v>2213388.8607299984</v>
      </c>
      <c r="BQ64" s="88">
        <f t="shared" si="13"/>
        <v>4211519.4485299969</v>
      </c>
    </row>
    <row r="66" spans="1:69" x14ac:dyDescent="0.25">
      <c r="A66" s="29" t="s">
        <v>223</v>
      </c>
    </row>
    <row r="67" spans="1:69" x14ac:dyDescent="0.25">
      <c r="A67" s="1" t="s">
        <v>0</v>
      </c>
      <c r="B67" s="116" t="s">
        <v>1</v>
      </c>
      <c r="C67" s="117"/>
      <c r="D67" s="116" t="s">
        <v>285</v>
      </c>
      <c r="E67" s="117"/>
      <c r="F67" s="116" t="s">
        <v>2</v>
      </c>
      <c r="G67" s="117"/>
      <c r="H67" s="116" t="s">
        <v>3</v>
      </c>
      <c r="I67" s="117"/>
      <c r="J67" s="116" t="s">
        <v>4</v>
      </c>
      <c r="K67" s="117"/>
      <c r="L67" s="116" t="s">
        <v>286</v>
      </c>
      <c r="M67" s="117"/>
      <c r="N67" s="116" t="s">
        <v>6</v>
      </c>
      <c r="O67" s="117"/>
      <c r="P67" s="116" t="s">
        <v>5</v>
      </c>
      <c r="Q67" s="117"/>
      <c r="R67" s="116" t="s">
        <v>7</v>
      </c>
      <c r="S67" s="117"/>
      <c r="T67" s="116" t="s">
        <v>287</v>
      </c>
      <c r="U67" s="117"/>
      <c r="V67" s="116" t="s">
        <v>8</v>
      </c>
      <c r="W67" s="117"/>
      <c r="X67" s="116" t="s">
        <v>288</v>
      </c>
      <c r="Y67" s="117"/>
      <c r="Z67" s="116" t="s">
        <v>9</v>
      </c>
      <c r="AA67" s="117"/>
      <c r="AB67" s="116" t="s">
        <v>10</v>
      </c>
      <c r="AC67" s="117"/>
      <c r="AD67" s="116" t="s">
        <v>289</v>
      </c>
      <c r="AE67" s="117"/>
      <c r="AF67" s="116" t="s">
        <v>11</v>
      </c>
      <c r="AG67" s="117"/>
      <c r="AH67" s="116" t="s">
        <v>12</v>
      </c>
      <c r="AI67" s="117"/>
      <c r="AJ67" s="116" t="s">
        <v>290</v>
      </c>
      <c r="AK67" s="117"/>
      <c r="AL67" s="116" t="s">
        <v>299</v>
      </c>
      <c r="AM67" s="117"/>
      <c r="AN67" s="116" t="s">
        <v>13</v>
      </c>
      <c r="AO67" s="117"/>
      <c r="AP67" s="116" t="s">
        <v>291</v>
      </c>
      <c r="AQ67" s="117"/>
      <c r="AR67" s="116" t="s">
        <v>292</v>
      </c>
      <c r="AS67" s="117"/>
      <c r="AT67" s="116" t="s">
        <v>307</v>
      </c>
      <c r="AU67" s="117"/>
      <c r="AV67" s="116" t="s">
        <v>293</v>
      </c>
      <c r="AW67" s="117"/>
      <c r="AX67" s="116" t="s">
        <v>14</v>
      </c>
      <c r="AY67" s="117"/>
      <c r="AZ67" s="116" t="s">
        <v>15</v>
      </c>
      <c r="BA67" s="117"/>
      <c r="BB67" s="116" t="s">
        <v>16</v>
      </c>
      <c r="BC67" s="117"/>
      <c r="BD67" s="116" t="s">
        <v>17</v>
      </c>
      <c r="BE67" s="117"/>
      <c r="BF67" s="116" t="s">
        <v>18</v>
      </c>
      <c r="BG67" s="117"/>
      <c r="BH67" s="116" t="s">
        <v>294</v>
      </c>
      <c r="BI67" s="117"/>
      <c r="BJ67" s="116" t="s">
        <v>295</v>
      </c>
      <c r="BK67" s="117"/>
      <c r="BL67" s="116" t="s">
        <v>19</v>
      </c>
      <c r="BM67" s="117"/>
      <c r="BN67" s="116" t="s">
        <v>20</v>
      </c>
      <c r="BO67" s="117"/>
      <c r="BP67" s="118" t="s">
        <v>21</v>
      </c>
      <c r="BQ67" s="119"/>
    </row>
    <row r="68" spans="1:69" ht="30" x14ac:dyDescent="0.25">
      <c r="A68" s="1"/>
      <c r="B68" s="67" t="s">
        <v>296</v>
      </c>
      <c r="C68" s="68" t="s">
        <v>297</v>
      </c>
      <c r="D68" s="67" t="s">
        <v>296</v>
      </c>
      <c r="E68" s="68" t="s">
        <v>297</v>
      </c>
      <c r="F68" s="67" t="s">
        <v>296</v>
      </c>
      <c r="G68" s="68" t="s">
        <v>297</v>
      </c>
      <c r="H68" s="67" t="s">
        <v>296</v>
      </c>
      <c r="I68" s="68" t="s">
        <v>297</v>
      </c>
      <c r="J68" s="67" t="s">
        <v>296</v>
      </c>
      <c r="K68" s="68" t="s">
        <v>297</v>
      </c>
      <c r="L68" s="67" t="s">
        <v>296</v>
      </c>
      <c r="M68" s="68" t="s">
        <v>297</v>
      </c>
      <c r="N68" s="67" t="s">
        <v>296</v>
      </c>
      <c r="O68" s="68" t="s">
        <v>297</v>
      </c>
      <c r="P68" s="67" t="s">
        <v>296</v>
      </c>
      <c r="Q68" s="68" t="s">
        <v>297</v>
      </c>
      <c r="R68" s="67" t="s">
        <v>296</v>
      </c>
      <c r="S68" s="68" t="s">
        <v>297</v>
      </c>
      <c r="T68" s="67" t="s">
        <v>296</v>
      </c>
      <c r="U68" s="68" t="s">
        <v>297</v>
      </c>
      <c r="V68" s="67" t="s">
        <v>296</v>
      </c>
      <c r="W68" s="68" t="s">
        <v>297</v>
      </c>
      <c r="X68" s="67" t="s">
        <v>296</v>
      </c>
      <c r="Y68" s="68" t="s">
        <v>297</v>
      </c>
      <c r="Z68" s="67" t="s">
        <v>296</v>
      </c>
      <c r="AA68" s="68" t="s">
        <v>297</v>
      </c>
      <c r="AB68" s="67" t="s">
        <v>296</v>
      </c>
      <c r="AC68" s="68" t="s">
        <v>297</v>
      </c>
      <c r="AD68" s="67" t="s">
        <v>296</v>
      </c>
      <c r="AE68" s="68" t="s">
        <v>297</v>
      </c>
      <c r="AF68" s="67" t="s">
        <v>296</v>
      </c>
      <c r="AG68" s="68" t="s">
        <v>297</v>
      </c>
      <c r="AH68" s="67" t="s">
        <v>296</v>
      </c>
      <c r="AI68" s="68" t="s">
        <v>297</v>
      </c>
      <c r="AJ68" s="67" t="s">
        <v>296</v>
      </c>
      <c r="AK68" s="68" t="s">
        <v>297</v>
      </c>
      <c r="AL68" s="67" t="s">
        <v>296</v>
      </c>
      <c r="AM68" s="68" t="s">
        <v>297</v>
      </c>
      <c r="AN68" s="67" t="s">
        <v>296</v>
      </c>
      <c r="AO68" s="68" t="s">
        <v>297</v>
      </c>
      <c r="AP68" s="67" t="s">
        <v>296</v>
      </c>
      <c r="AQ68" s="68" t="s">
        <v>297</v>
      </c>
      <c r="AR68" s="67" t="s">
        <v>296</v>
      </c>
      <c r="AS68" s="68" t="s">
        <v>297</v>
      </c>
      <c r="AT68" s="67" t="s">
        <v>296</v>
      </c>
      <c r="AU68" s="68" t="s">
        <v>297</v>
      </c>
      <c r="AV68" s="67" t="s">
        <v>296</v>
      </c>
      <c r="AW68" s="68" t="s">
        <v>297</v>
      </c>
      <c r="AX68" s="67" t="s">
        <v>296</v>
      </c>
      <c r="AY68" s="68" t="s">
        <v>297</v>
      </c>
      <c r="AZ68" s="67" t="s">
        <v>296</v>
      </c>
      <c r="BA68" s="68" t="s">
        <v>297</v>
      </c>
      <c r="BB68" s="67" t="s">
        <v>296</v>
      </c>
      <c r="BC68" s="68" t="s">
        <v>297</v>
      </c>
      <c r="BD68" s="67" t="s">
        <v>296</v>
      </c>
      <c r="BE68" s="68" t="s">
        <v>297</v>
      </c>
      <c r="BF68" s="67" t="s">
        <v>296</v>
      </c>
      <c r="BG68" s="68" t="s">
        <v>297</v>
      </c>
      <c r="BH68" s="67" t="s">
        <v>296</v>
      </c>
      <c r="BI68" s="68" t="s">
        <v>297</v>
      </c>
      <c r="BJ68" s="67" t="s">
        <v>296</v>
      </c>
      <c r="BK68" s="68" t="s">
        <v>297</v>
      </c>
      <c r="BL68" s="67" t="s">
        <v>296</v>
      </c>
      <c r="BM68" s="68" t="s">
        <v>297</v>
      </c>
      <c r="BN68" s="67" t="s">
        <v>296</v>
      </c>
      <c r="BO68" s="68" t="s">
        <v>297</v>
      </c>
      <c r="BP68" s="84" t="s">
        <v>280</v>
      </c>
      <c r="BQ68" s="85" t="s">
        <v>281</v>
      </c>
    </row>
    <row r="69" spans="1:69" x14ac:dyDescent="0.25">
      <c r="A69" s="10" t="s">
        <v>271</v>
      </c>
      <c r="B69" s="10"/>
      <c r="C69" s="10"/>
      <c r="D69" s="10"/>
      <c r="E69" s="10"/>
      <c r="F69" s="10"/>
      <c r="G69" s="10"/>
      <c r="H69" s="10">
        <v>46155</v>
      </c>
      <c r="I69" s="10">
        <v>93891</v>
      </c>
      <c r="J69" s="10"/>
      <c r="K69" s="10"/>
      <c r="L69" s="10"/>
      <c r="M69" s="10"/>
      <c r="N69" s="10"/>
      <c r="O69" s="10"/>
      <c r="P69" s="10"/>
      <c r="Q69" s="10"/>
      <c r="R69" s="10"/>
      <c r="S69" s="10">
        <v>1126</v>
      </c>
      <c r="T69" s="10"/>
      <c r="U69" s="10"/>
      <c r="V69" s="10">
        <v>27303</v>
      </c>
      <c r="W69" s="10">
        <v>46205</v>
      </c>
      <c r="X69" s="10"/>
      <c r="Y69" s="10"/>
      <c r="Z69" s="10">
        <v>319654</v>
      </c>
      <c r="AA69" s="10">
        <v>538841</v>
      </c>
      <c r="AB69" s="10">
        <v>1</v>
      </c>
      <c r="AC69" s="10">
        <v>855</v>
      </c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>
        <v>262687.04173073603</v>
      </c>
      <c r="AO69" s="10">
        <v>335142.50507225603</v>
      </c>
      <c r="AP69" s="10"/>
      <c r="AQ69" s="10"/>
      <c r="AR69" s="10"/>
      <c r="AS69" s="10"/>
      <c r="AT69" s="10">
        <v>47630</v>
      </c>
      <c r="AU69" s="10">
        <v>200645</v>
      </c>
      <c r="AV69" s="10"/>
      <c r="AW69" s="10"/>
      <c r="AX69" s="10"/>
      <c r="AY69" s="10"/>
      <c r="AZ69" s="10">
        <v>249</v>
      </c>
      <c r="BA69" s="10">
        <v>584</v>
      </c>
      <c r="BB69" s="10"/>
      <c r="BC69" s="10"/>
      <c r="BD69" s="10"/>
      <c r="BE69" s="10"/>
      <c r="BF69" s="10"/>
      <c r="BG69" s="10"/>
      <c r="BH69" s="10">
        <v>711642</v>
      </c>
      <c r="BI69" s="10">
        <v>1065083</v>
      </c>
      <c r="BJ69" s="10">
        <v>328257</v>
      </c>
      <c r="BK69" s="10">
        <v>627771</v>
      </c>
      <c r="BL69" s="108">
        <v>202658</v>
      </c>
      <c r="BM69" s="108">
        <v>312875</v>
      </c>
      <c r="BN69" s="10"/>
      <c r="BO69" s="10"/>
      <c r="BP69" s="88">
        <f t="shared" ref="BP69:BP73" si="14">SUM(B69+D69+F69+H69+J69+L69+N69+P69+R69+T69+V69+X69+Z69+AB69+AD69+AF69+AH69+AJ69+AL69+AN69+AP69+AR69+AT69+AV69+AX69+AZ69+BB69+BD69+BF69+BH69+BJ69+BL69+BN69)</f>
        <v>1946236.0417307359</v>
      </c>
      <c r="BQ69" s="88">
        <f t="shared" ref="BQ69:BQ73" si="15">SUM(C69+E69+G69+I69+K69+M69+O69+Q69+S69+U69+W69+Y69+AA69+AC69+AE69+AG69+AI69+AK69+AM69+AO69+AQ69+AS69+AU69+AW69+AY69+BA69+BC69+BE69+BG69+BI69+BK69+BM69+BO69)</f>
        <v>3223018.5050722561</v>
      </c>
    </row>
    <row r="70" spans="1:69" x14ac:dyDescent="0.25">
      <c r="A70" s="10" t="s">
        <v>274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>
        <v>-1446</v>
      </c>
      <c r="W70" s="10">
        <v>-1446</v>
      </c>
      <c r="X70" s="10"/>
      <c r="Y70" s="10"/>
      <c r="Z70" s="10">
        <v>22803</v>
      </c>
      <c r="AA70" s="10">
        <v>41856</v>
      </c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>
        <v>10797.183520000021</v>
      </c>
      <c r="AO70" s="10">
        <v>267043.75030000001</v>
      </c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>
        <v>215600</v>
      </c>
      <c r="BI70" s="10">
        <v>727223</v>
      </c>
      <c r="BJ70" s="10">
        <v>182450</v>
      </c>
      <c r="BK70" s="10">
        <v>690646</v>
      </c>
      <c r="BL70" s="108">
        <v>40407</v>
      </c>
      <c r="BM70" s="108">
        <v>92256</v>
      </c>
      <c r="BN70" s="10"/>
      <c r="BO70" s="10"/>
      <c r="BP70" s="88">
        <f t="shared" si="14"/>
        <v>470611.18352000002</v>
      </c>
      <c r="BQ70" s="88">
        <f t="shared" si="15"/>
        <v>1817578.7503</v>
      </c>
    </row>
    <row r="71" spans="1:69" x14ac:dyDescent="0.25">
      <c r="A71" s="10" t="s">
        <v>275</v>
      </c>
      <c r="B71" s="10"/>
      <c r="C71" s="10"/>
      <c r="D71" s="10"/>
      <c r="E71" s="10"/>
      <c r="F71" s="10"/>
      <c r="G71" s="10"/>
      <c r="H71" s="10">
        <v>45966</v>
      </c>
      <c r="I71" s="10">
        <v>91562</v>
      </c>
      <c r="J71" s="10"/>
      <c r="K71" s="10"/>
      <c r="L71" s="10"/>
      <c r="M71" s="10"/>
      <c r="N71" s="10"/>
      <c r="O71" s="10"/>
      <c r="P71" s="10"/>
      <c r="Q71" s="10"/>
      <c r="R71" s="10"/>
      <c r="S71" s="10">
        <v>56</v>
      </c>
      <c r="T71" s="10"/>
      <c r="U71" s="10"/>
      <c r="V71" s="10">
        <v>-27299</v>
      </c>
      <c r="W71" s="10">
        <v>-46135</v>
      </c>
      <c r="X71" s="10"/>
      <c r="Y71" s="10"/>
      <c r="Z71" s="10">
        <v>308359</v>
      </c>
      <c r="AA71" s="10">
        <v>521975</v>
      </c>
      <c r="AB71" s="10"/>
      <c r="AC71" s="10">
        <v>854</v>
      </c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>
        <v>267430.32824</v>
      </c>
      <c r="AO71" s="10">
        <v>375790.94844000001</v>
      </c>
      <c r="AP71" s="10"/>
      <c r="AQ71" s="10"/>
      <c r="AR71" s="10"/>
      <c r="AS71" s="10"/>
      <c r="AT71" s="10">
        <v>46972</v>
      </c>
      <c r="AU71" s="10">
        <v>151771</v>
      </c>
      <c r="AV71" s="10"/>
      <c r="AW71" s="10"/>
      <c r="AX71" s="10"/>
      <c r="AY71" s="10"/>
      <c r="AZ71" s="10">
        <v>247</v>
      </c>
      <c r="BA71" s="10">
        <v>580</v>
      </c>
      <c r="BB71" s="10"/>
      <c r="BC71" s="10"/>
      <c r="BD71" s="10"/>
      <c r="BE71" s="10"/>
      <c r="BF71" s="10"/>
      <c r="BG71" s="10"/>
      <c r="BH71" s="10">
        <v>755744</v>
      </c>
      <c r="BI71" s="10">
        <v>1145728</v>
      </c>
      <c r="BJ71" s="10">
        <v>332899</v>
      </c>
      <c r="BK71" s="10">
        <v>618341</v>
      </c>
      <c r="BL71" s="108">
        <v>202987</v>
      </c>
      <c r="BM71" s="108">
        <v>358787</v>
      </c>
      <c r="BN71" s="10"/>
      <c r="BO71" s="10"/>
      <c r="BP71" s="88">
        <f t="shared" si="14"/>
        <v>1933305.3282399999</v>
      </c>
      <c r="BQ71" s="88">
        <f t="shared" si="15"/>
        <v>3219309.9484399999</v>
      </c>
    </row>
    <row r="72" spans="1:69" x14ac:dyDescent="0.25">
      <c r="A72" s="10" t="s">
        <v>229</v>
      </c>
      <c r="B72" s="10"/>
      <c r="C72" s="10"/>
      <c r="D72" s="10"/>
      <c r="E72" s="10"/>
      <c r="F72" s="10"/>
      <c r="G72" s="10"/>
      <c r="H72" s="10">
        <v>189</v>
      </c>
      <c r="I72" s="10">
        <v>2329</v>
      </c>
      <c r="J72" s="10"/>
      <c r="K72" s="10"/>
      <c r="L72" s="10"/>
      <c r="M72" s="10"/>
      <c r="N72" s="10"/>
      <c r="O72" s="10"/>
      <c r="P72" s="10"/>
      <c r="Q72" s="10"/>
      <c r="R72" s="10"/>
      <c r="S72" s="10">
        <v>1070</v>
      </c>
      <c r="T72" s="10"/>
      <c r="U72" s="10"/>
      <c r="V72" s="10">
        <v>-1442</v>
      </c>
      <c r="W72" s="10">
        <v>-1376</v>
      </c>
      <c r="X72" s="10"/>
      <c r="Y72" s="10"/>
      <c r="Z72" s="10">
        <v>34098</v>
      </c>
      <c r="AA72" s="10">
        <v>58722</v>
      </c>
      <c r="AB72" s="10">
        <v>1</v>
      </c>
      <c r="AC72" s="10">
        <v>1</v>
      </c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>
        <v>6053.897010736051</v>
      </c>
      <c r="AO72" s="10">
        <v>226395.30693225603</v>
      </c>
      <c r="AP72" s="10"/>
      <c r="AQ72" s="10"/>
      <c r="AR72" s="10"/>
      <c r="AS72" s="10"/>
      <c r="AT72" s="10">
        <v>658</v>
      </c>
      <c r="AU72" s="10">
        <v>48874</v>
      </c>
      <c r="AV72" s="10"/>
      <c r="AW72" s="10"/>
      <c r="AX72" s="10"/>
      <c r="AY72" s="10"/>
      <c r="AZ72" s="10">
        <v>2</v>
      </c>
      <c r="BA72" s="10">
        <v>4</v>
      </c>
      <c r="BB72" s="10"/>
      <c r="BC72" s="10"/>
      <c r="BD72" s="10"/>
      <c r="BE72" s="10"/>
      <c r="BF72" s="10"/>
      <c r="BG72" s="10"/>
      <c r="BH72" s="10">
        <v>171498</v>
      </c>
      <c r="BI72" s="10">
        <v>646578</v>
      </c>
      <c r="BJ72" s="10">
        <v>177808</v>
      </c>
      <c r="BK72" s="10">
        <v>700076</v>
      </c>
      <c r="BL72" s="108">
        <v>40078</v>
      </c>
      <c r="BM72" s="108">
        <v>46344</v>
      </c>
      <c r="BN72" s="10"/>
      <c r="BO72" s="10"/>
      <c r="BP72" s="88">
        <f t="shared" si="14"/>
        <v>428943.89701073605</v>
      </c>
      <c r="BQ72" s="88">
        <f t="shared" si="15"/>
        <v>1729017.3069322561</v>
      </c>
    </row>
    <row r="73" spans="1:69" x14ac:dyDescent="0.25">
      <c r="A73" s="10" t="s">
        <v>230</v>
      </c>
      <c r="B73" s="10"/>
      <c r="C73" s="10"/>
      <c r="D73" s="10"/>
      <c r="E73" s="10"/>
      <c r="F73" s="10"/>
      <c r="G73" s="10"/>
      <c r="H73" s="10">
        <v>26972</v>
      </c>
      <c r="I73" s="10">
        <v>53904</v>
      </c>
      <c r="J73" s="10"/>
      <c r="K73" s="10"/>
      <c r="L73" s="10"/>
      <c r="M73" s="10"/>
      <c r="N73" s="10"/>
      <c r="O73" s="10"/>
      <c r="P73" s="10"/>
      <c r="Q73" s="10"/>
      <c r="R73" s="10">
        <v>5853</v>
      </c>
      <c r="S73" s="10">
        <v>11877</v>
      </c>
      <c r="T73" s="10"/>
      <c r="U73" s="10"/>
      <c r="V73" s="10">
        <v>-1442</v>
      </c>
      <c r="W73" s="10">
        <v>-1356</v>
      </c>
      <c r="X73" s="10"/>
      <c r="Y73" s="10"/>
      <c r="Z73" s="10">
        <v>53735</v>
      </c>
      <c r="AA73" s="10">
        <v>97114</v>
      </c>
      <c r="AB73" s="10">
        <v>53</v>
      </c>
      <c r="AC73" s="10">
        <v>124</v>
      </c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>
        <v>117726.62401073606</v>
      </c>
      <c r="AO73" s="10">
        <v>316862.47493225604</v>
      </c>
      <c r="AP73" s="10"/>
      <c r="AQ73" s="10"/>
      <c r="AR73" s="10"/>
      <c r="AS73" s="10"/>
      <c r="AT73" s="10">
        <v>13519</v>
      </c>
      <c r="AU73" s="10">
        <v>36644</v>
      </c>
      <c r="AV73" s="10"/>
      <c r="AW73" s="10"/>
      <c r="AX73" s="10"/>
      <c r="AY73" s="10"/>
      <c r="AZ73" s="10">
        <v>2</v>
      </c>
      <c r="BA73" s="10">
        <v>5</v>
      </c>
      <c r="BB73" s="10"/>
      <c r="BC73" s="10"/>
      <c r="BD73" s="10"/>
      <c r="BE73" s="10"/>
      <c r="BF73" s="10"/>
      <c r="BG73" s="10"/>
      <c r="BH73" s="10">
        <v>305359</v>
      </c>
      <c r="BI73" s="10">
        <v>757708</v>
      </c>
      <c r="BJ73" s="10">
        <v>142776</v>
      </c>
      <c r="BK73" s="10">
        <v>471979</v>
      </c>
      <c r="BL73" s="108">
        <v>-7016</v>
      </c>
      <c r="BM73" s="108">
        <v>146606</v>
      </c>
      <c r="BN73" s="10"/>
      <c r="BO73" s="10"/>
      <c r="BP73" s="88">
        <f t="shared" si="14"/>
        <v>657537.62401073612</v>
      </c>
      <c r="BQ73" s="88">
        <f t="shared" si="15"/>
        <v>1891467.4749322562</v>
      </c>
    </row>
    <row r="75" spans="1:69" x14ac:dyDescent="0.25">
      <c r="A75" s="29" t="s">
        <v>224</v>
      </c>
    </row>
    <row r="76" spans="1:69" x14ac:dyDescent="0.25">
      <c r="A76" s="1" t="s">
        <v>0</v>
      </c>
      <c r="B76" s="116" t="s">
        <v>1</v>
      </c>
      <c r="C76" s="117"/>
      <c r="D76" s="116" t="s">
        <v>285</v>
      </c>
      <c r="E76" s="117"/>
      <c r="F76" s="116" t="s">
        <v>2</v>
      </c>
      <c r="G76" s="117"/>
      <c r="H76" s="116" t="s">
        <v>3</v>
      </c>
      <c r="I76" s="117"/>
      <c r="J76" s="116" t="s">
        <v>4</v>
      </c>
      <c r="K76" s="117"/>
      <c r="L76" s="116" t="s">
        <v>286</v>
      </c>
      <c r="M76" s="117"/>
      <c r="N76" s="116" t="s">
        <v>6</v>
      </c>
      <c r="O76" s="117"/>
      <c r="P76" s="116" t="s">
        <v>5</v>
      </c>
      <c r="Q76" s="117"/>
      <c r="R76" s="116" t="s">
        <v>7</v>
      </c>
      <c r="S76" s="117"/>
      <c r="T76" s="116" t="s">
        <v>287</v>
      </c>
      <c r="U76" s="117"/>
      <c r="V76" s="116" t="s">
        <v>8</v>
      </c>
      <c r="W76" s="117"/>
      <c r="X76" s="116" t="s">
        <v>288</v>
      </c>
      <c r="Y76" s="117"/>
      <c r="Z76" s="116" t="s">
        <v>9</v>
      </c>
      <c r="AA76" s="117"/>
      <c r="AB76" s="116" t="s">
        <v>10</v>
      </c>
      <c r="AC76" s="117"/>
      <c r="AD76" s="116" t="s">
        <v>289</v>
      </c>
      <c r="AE76" s="117"/>
      <c r="AF76" s="116" t="s">
        <v>11</v>
      </c>
      <c r="AG76" s="117"/>
      <c r="AH76" s="116" t="s">
        <v>12</v>
      </c>
      <c r="AI76" s="117"/>
      <c r="AJ76" s="116" t="s">
        <v>290</v>
      </c>
      <c r="AK76" s="117"/>
      <c r="AL76" s="116" t="s">
        <v>299</v>
      </c>
      <c r="AM76" s="117"/>
      <c r="AN76" s="116" t="s">
        <v>13</v>
      </c>
      <c r="AO76" s="117"/>
      <c r="AP76" s="116" t="s">
        <v>291</v>
      </c>
      <c r="AQ76" s="117"/>
      <c r="AR76" s="116" t="s">
        <v>292</v>
      </c>
      <c r="AS76" s="117"/>
      <c r="AT76" s="116" t="s">
        <v>307</v>
      </c>
      <c r="AU76" s="117"/>
      <c r="AV76" s="116" t="s">
        <v>293</v>
      </c>
      <c r="AW76" s="117"/>
      <c r="AX76" s="116" t="s">
        <v>14</v>
      </c>
      <c r="AY76" s="117"/>
      <c r="AZ76" s="116" t="s">
        <v>15</v>
      </c>
      <c r="BA76" s="117"/>
      <c r="BB76" s="116" t="s">
        <v>16</v>
      </c>
      <c r="BC76" s="117"/>
      <c r="BD76" s="116" t="s">
        <v>17</v>
      </c>
      <c r="BE76" s="117"/>
      <c r="BF76" s="116" t="s">
        <v>18</v>
      </c>
      <c r="BG76" s="117"/>
      <c r="BH76" s="116" t="s">
        <v>294</v>
      </c>
      <c r="BI76" s="117"/>
      <c r="BJ76" s="116" t="s">
        <v>295</v>
      </c>
      <c r="BK76" s="117"/>
      <c r="BL76" s="116" t="s">
        <v>19</v>
      </c>
      <c r="BM76" s="117"/>
      <c r="BN76" s="116" t="s">
        <v>20</v>
      </c>
      <c r="BO76" s="117"/>
      <c r="BP76" s="118" t="s">
        <v>21</v>
      </c>
      <c r="BQ76" s="119"/>
    </row>
    <row r="77" spans="1:69" ht="30" x14ac:dyDescent="0.25">
      <c r="A77" s="1"/>
      <c r="B77" s="67" t="s">
        <v>296</v>
      </c>
      <c r="C77" s="68" t="s">
        <v>297</v>
      </c>
      <c r="D77" s="67" t="s">
        <v>296</v>
      </c>
      <c r="E77" s="68" t="s">
        <v>297</v>
      </c>
      <c r="F77" s="67" t="s">
        <v>296</v>
      </c>
      <c r="G77" s="68" t="s">
        <v>297</v>
      </c>
      <c r="H77" s="67" t="s">
        <v>296</v>
      </c>
      <c r="I77" s="68" t="s">
        <v>297</v>
      </c>
      <c r="J77" s="67" t="s">
        <v>296</v>
      </c>
      <c r="K77" s="68" t="s">
        <v>297</v>
      </c>
      <c r="L77" s="67" t="s">
        <v>296</v>
      </c>
      <c r="M77" s="68" t="s">
        <v>297</v>
      </c>
      <c r="N77" s="67" t="s">
        <v>296</v>
      </c>
      <c r="O77" s="68" t="s">
        <v>297</v>
      </c>
      <c r="P77" s="67" t="s">
        <v>296</v>
      </c>
      <c r="Q77" s="68" t="s">
        <v>297</v>
      </c>
      <c r="R77" s="67" t="s">
        <v>296</v>
      </c>
      <c r="S77" s="68" t="s">
        <v>297</v>
      </c>
      <c r="T77" s="67" t="s">
        <v>296</v>
      </c>
      <c r="U77" s="68" t="s">
        <v>297</v>
      </c>
      <c r="V77" s="67" t="s">
        <v>296</v>
      </c>
      <c r="W77" s="68" t="s">
        <v>297</v>
      </c>
      <c r="X77" s="67" t="s">
        <v>296</v>
      </c>
      <c r="Y77" s="68" t="s">
        <v>297</v>
      </c>
      <c r="Z77" s="67" t="s">
        <v>296</v>
      </c>
      <c r="AA77" s="68" t="s">
        <v>297</v>
      </c>
      <c r="AB77" s="67" t="s">
        <v>296</v>
      </c>
      <c r="AC77" s="68" t="s">
        <v>297</v>
      </c>
      <c r="AD77" s="67" t="s">
        <v>296</v>
      </c>
      <c r="AE77" s="68" t="s">
        <v>297</v>
      </c>
      <c r="AF77" s="67" t="s">
        <v>296</v>
      </c>
      <c r="AG77" s="68" t="s">
        <v>297</v>
      </c>
      <c r="AH77" s="67" t="s">
        <v>296</v>
      </c>
      <c r="AI77" s="68" t="s">
        <v>297</v>
      </c>
      <c r="AJ77" s="67" t="s">
        <v>296</v>
      </c>
      <c r="AK77" s="68" t="s">
        <v>297</v>
      </c>
      <c r="AL77" s="67" t="s">
        <v>296</v>
      </c>
      <c r="AM77" s="68" t="s">
        <v>297</v>
      </c>
      <c r="AN77" s="67" t="s">
        <v>296</v>
      </c>
      <c r="AO77" s="68" t="s">
        <v>297</v>
      </c>
      <c r="AP77" s="67" t="s">
        <v>296</v>
      </c>
      <c r="AQ77" s="68" t="s">
        <v>297</v>
      </c>
      <c r="AR77" s="67" t="s">
        <v>296</v>
      </c>
      <c r="AS77" s="68" t="s">
        <v>297</v>
      </c>
      <c r="AT77" s="67" t="s">
        <v>296</v>
      </c>
      <c r="AU77" s="68" t="s">
        <v>297</v>
      </c>
      <c r="AV77" s="67" t="s">
        <v>296</v>
      </c>
      <c r="AW77" s="68" t="s">
        <v>297</v>
      </c>
      <c r="AX77" s="67" t="s">
        <v>296</v>
      </c>
      <c r="AY77" s="68" t="s">
        <v>297</v>
      </c>
      <c r="AZ77" s="67" t="s">
        <v>296</v>
      </c>
      <c r="BA77" s="68" t="s">
        <v>297</v>
      </c>
      <c r="BB77" s="67" t="s">
        <v>296</v>
      </c>
      <c r="BC77" s="68" t="s">
        <v>297</v>
      </c>
      <c r="BD77" s="67" t="s">
        <v>296</v>
      </c>
      <c r="BE77" s="68" t="s">
        <v>297</v>
      </c>
      <c r="BF77" s="67" t="s">
        <v>296</v>
      </c>
      <c r="BG77" s="68" t="s">
        <v>297</v>
      </c>
      <c r="BH77" s="67" t="s">
        <v>296</v>
      </c>
      <c r="BI77" s="68" t="s">
        <v>297</v>
      </c>
      <c r="BJ77" s="67" t="s">
        <v>296</v>
      </c>
      <c r="BK77" s="68" t="s">
        <v>297</v>
      </c>
      <c r="BL77" s="67" t="s">
        <v>296</v>
      </c>
      <c r="BM77" s="68" t="s">
        <v>297</v>
      </c>
      <c r="BN77" s="67" t="s">
        <v>296</v>
      </c>
      <c r="BO77" s="68" t="s">
        <v>297</v>
      </c>
      <c r="BP77" s="84" t="s">
        <v>280</v>
      </c>
      <c r="BQ77" s="85" t="s">
        <v>281</v>
      </c>
    </row>
    <row r="78" spans="1:69" x14ac:dyDescent="0.25">
      <c r="A78" s="10" t="s">
        <v>271</v>
      </c>
      <c r="B78" s="10">
        <f t="shared" ref="B78:AI78" si="16">B87-B69-B60-B51-B42-B33-B24-B15-B6</f>
        <v>0</v>
      </c>
      <c r="C78" s="10">
        <f t="shared" si="16"/>
        <v>0</v>
      </c>
      <c r="D78" s="10">
        <f t="shared" si="16"/>
        <v>0</v>
      </c>
      <c r="E78" s="10">
        <f t="shared" si="16"/>
        <v>0</v>
      </c>
      <c r="F78" s="10">
        <f t="shared" si="16"/>
        <v>68899281</v>
      </c>
      <c r="G78" s="10">
        <f t="shared" si="16"/>
        <v>72195440</v>
      </c>
      <c r="H78" s="10">
        <f t="shared" si="16"/>
        <v>19759013</v>
      </c>
      <c r="I78" s="10">
        <f t="shared" si="16"/>
        <v>22446988</v>
      </c>
      <c r="J78" s="10">
        <f t="shared" si="16"/>
        <v>5522715</v>
      </c>
      <c r="K78" s="10">
        <f t="shared" si="16"/>
        <v>5727861</v>
      </c>
      <c r="L78" s="10">
        <f t="shared" si="16"/>
        <v>104599</v>
      </c>
      <c r="M78" s="10">
        <f t="shared" si="16"/>
        <v>160254</v>
      </c>
      <c r="N78" s="10">
        <f t="shared" si="16"/>
        <v>2814641.93</v>
      </c>
      <c r="O78" s="10">
        <f t="shared" si="16"/>
        <v>4520355.3499999996</v>
      </c>
      <c r="P78" s="10">
        <f t="shared" si="16"/>
        <v>1862</v>
      </c>
      <c r="Q78" s="10">
        <f t="shared" si="16"/>
        <v>2101</v>
      </c>
      <c r="R78" s="10">
        <f t="shared" si="16"/>
        <v>3999930</v>
      </c>
      <c r="S78" s="10">
        <f t="shared" si="16"/>
        <v>5517377</v>
      </c>
      <c r="T78" s="10">
        <f t="shared" si="16"/>
        <v>267752</v>
      </c>
      <c r="U78" s="10">
        <f t="shared" ref="U78" si="17">U87-U69-U60-U51-U42-U33-U24-U15-U6</f>
        <v>405430</v>
      </c>
      <c r="V78" s="10">
        <f t="shared" si="16"/>
        <v>17512574</v>
      </c>
      <c r="W78" s="10">
        <f t="shared" si="16"/>
        <v>18990790</v>
      </c>
      <c r="X78" s="10">
        <f t="shared" si="16"/>
        <v>2327</v>
      </c>
      <c r="Y78" s="10">
        <f t="shared" si="16"/>
        <v>6074</v>
      </c>
      <c r="Z78" s="10">
        <f t="shared" si="16"/>
        <v>1641860</v>
      </c>
      <c r="AA78" s="10">
        <f t="shared" si="16"/>
        <v>3932748</v>
      </c>
      <c r="AB78" s="10">
        <f t="shared" si="16"/>
        <v>7027965</v>
      </c>
      <c r="AC78" s="10">
        <f t="shared" si="16"/>
        <v>10157679</v>
      </c>
      <c r="AD78" s="10">
        <f t="shared" si="16"/>
        <v>30931</v>
      </c>
      <c r="AE78" s="10">
        <f t="shared" si="16"/>
        <v>51208</v>
      </c>
      <c r="AF78" s="10">
        <f t="shared" si="16"/>
        <v>161462</v>
      </c>
      <c r="AG78" s="10">
        <f t="shared" si="16"/>
        <v>397203</v>
      </c>
      <c r="AH78" s="10">
        <f t="shared" si="16"/>
        <v>137132</v>
      </c>
      <c r="AI78" s="10">
        <f t="shared" si="16"/>
        <v>177471</v>
      </c>
      <c r="AJ78" s="10">
        <f t="shared" ref="AJ78" si="18">AJ87-AJ69-AJ60-AJ51-AJ42-AJ33-AJ24-AJ15-AJ6</f>
        <v>0</v>
      </c>
      <c r="AK78" s="10">
        <f t="shared" ref="AK78:BO78" si="19">AK87-AK69-AK60-AK51-AK42-AK33-AK24-AK15-AK6</f>
        <v>0</v>
      </c>
      <c r="AL78" s="10">
        <f t="shared" si="19"/>
        <v>0</v>
      </c>
      <c r="AM78" s="10">
        <f t="shared" si="19"/>
        <v>0</v>
      </c>
      <c r="AN78" s="10">
        <f t="shared" si="19"/>
        <v>7262904.1165637579</v>
      </c>
      <c r="AO78" s="10">
        <f t="shared" si="19"/>
        <v>8132875.5363605665</v>
      </c>
      <c r="AP78" s="10">
        <f t="shared" si="19"/>
        <v>3468</v>
      </c>
      <c r="AQ78" s="10">
        <f t="shared" si="19"/>
        <v>19031</v>
      </c>
      <c r="AR78" s="10">
        <f t="shared" si="19"/>
        <v>146298</v>
      </c>
      <c r="AS78" s="10">
        <f t="shared" si="19"/>
        <v>286358</v>
      </c>
      <c r="AT78" s="10">
        <f t="shared" si="19"/>
        <v>13294889</v>
      </c>
      <c r="AU78" s="10">
        <f t="shared" si="19"/>
        <v>16415103</v>
      </c>
      <c r="AV78" s="10">
        <f t="shared" si="19"/>
        <v>0</v>
      </c>
      <c r="AW78" s="10">
        <f t="shared" si="19"/>
        <v>0</v>
      </c>
      <c r="AX78" s="10">
        <f t="shared" si="19"/>
        <v>45090</v>
      </c>
      <c r="AY78" s="10">
        <f t="shared" si="19"/>
        <v>95213</v>
      </c>
      <c r="AZ78" s="10">
        <f t="shared" si="19"/>
        <v>11708325</v>
      </c>
      <c r="BA78" s="10">
        <f t="shared" si="19"/>
        <v>14330580</v>
      </c>
      <c r="BB78" s="10">
        <f t="shared" si="19"/>
        <v>33951</v>
      </c>
      <c r="BC78" s="10">
        <f t="shared" si="19"/>
        <v>72174</v>
      </c>
      <c r="BD78" s="10">
        <f t="shared" si="19"/>
        <v>24172816</v>
      </c>
      <c r="BE78" s="10">
        <f t="shared" si="19"/>
        <v>39559462</v>
      </c>
      <c r="BF78" s="10">
        <f t="shared" si="19"/>
        <v>621851</v>
      </c>
      <c r="BG78" s="10">
        <f t="shared" si="19"/>
        <v>1286685</v>
      </c>
      <c r="BH78" s="10">
        <f t="shared" si="19"/>
        <v>10568635</v>
      </c>
      <c r="BI78" s="10">
        <f t="shared" si="19"/>
        <v>13383510</v>
      </c>
      <c r="BJ78" s="10">
        <f t="shared" si="19"/>
        <v>5831718</v>
      </c>
      <c r="BK78" s="10">
        <f t="shared" si="19"/>
        <v>6993466</v>
      </c>
      <c r="BL78" s="10">
        <f t="shared" si="19"/>
        <v>1866534</v>
      </c>
      <c r="BM78" s="10">
        <f t="shared" si="19"/>
        <v>4320748</v>
      </c>
      <c r="BN78" s="10">
        <f t="shared" si="19"/>
        <v>6339314</v>
      </c>
      <c r="BO78" s="10">
        <f t="shared" si="19"/>
        <v>6530624</v>
      </c>
      <c r="BP78" s="88">
        <f t="shared" ref="BP78:BP82" si="20">SUM(B78+D78+F78+H78+J78+L78+N78+P78+R78+T78+V78+X78+Z78+AB78+AD78+AF78+AH78+AJ78+AL78+AN78+AP78+AR78+AT78+AV78+AX78+AZ78+BB78+BD78+BF78+BH78+BJ78+BL78+BN78)</f>
        <v>209779838.04656377</v>
      </c>
      <c r="BQ78" s="88">
        <f t="shared" ref="BQ78:BQ82" si="21">SUM(C78+E78+G78+I78+K78+M78+O78+Q78+S78+U78+W78+Y78+AA78+AC78+AE78+AG78+AI78+AK78+AM78+AO78+AQ78+AS78+AU78+AW78+AY78+BA78+BC78+BE78+BG78+BI78+BK78+BM78+BO78)</f>
        <v>256114808.88636056</v>
      </c>
    </row>
    <row r="79" spans="1:69" x14ac:dyDescent="0.25">
      <c r="A79" s="10" t="s">
        <v>274</v>
      </c>
      <c r="B79" s="10">
        <f t="shared" ref="B79:AI79" si="22">B88-B70-B61-B52-B43-B34-B25-B16-B7</f>
        <v>0</v>
      </c>
      <c r="C79" s="10">
        <f t="shared" si="22"/>
        <v>0</v>
      </c>
      <c r="D79" s="10">
        <f t="shared" si="22"/>
        <v>0</v>
      </c>
      <c r="E79" s="10">
        <f t="shared" si="22"/>
        <v>0</v>
      </c>
      <c r="F79" s="10">
        <f t="shared" si="22"/>
        <v>-89</v>
      </c>
      <c r="G79" s="10">
        <f t="shared" si="22"/>
        <v>-89</v>
      </c>
      <c r="H79" s="10">
        <f t="shared" si="22"/>
        <v>2660</v>
      </c>
      <c r="I79" s="10">
        <f t="shared" si="22"/>
        <v>8199</v>
      </c>
      <c r="J79" s="10">
        <f t="shared" si="22"/>
        <v>0</v>
      </c>
      <c r="K79" s="10">
        <f t="shared" si="22"/>
        <v>0</v>
      </c>
      <c r="L79" s="10">
        <f t="shared" si="22"/>
        <v>0</v>
      </c>
      <c r="M79" s="10">
        <f t="shared" si="22"/>
        <v>1854</v>
      </c>
      <c r="N79" s="10">
        <f t="shared" si="22"/>
        <v>0</v>
      </c>
      <c r="O79" s="10">
        <f t="shared" si="22"/>
        <v>0</v>
      </c>
      <c r="P79" s="10">
        <f t="shared" si="22"/>
        <v>1</v>
      </c>
      <c r="Q79" s="10">
        <f t="shared" si="22"/>
        <v>522</v>
      </c>
      <c r="R79" s="10">
        <f t="shared" si="22"/>
        <v>110</v>
      </c>
      <c r="S79" s="10">
        <f t="shared" si="22"/>
        <v>109</v>
      </c>
      <c r="T79" s="10">
        <f t="shared" si="22"/>
        <v>59230</v>
      </c>
      <c r="U79" s="10">
        <f t="shared" ref="U79" si="23">U88-U70-U61-U52-U43-U34-U25-U16-U7</f>
        <v>150313</v>
      </c>
      <c r="V79" s="10">
        <f t="shared" si="22"/>
        <v>43179</v>
      </c>
      <c r="W79" s="10">
        <f t="shared" si="22"/>
        <v>135361</v>
      </c>
      <c r="X79" s="10">
        <f t="shared" si="22"/>
        <v>0</v>
      </c>
      <c r="Y79" s="10">
        <f t="shared" si="22"/>
        <v>0</v>
      </c>
      <c r="Z79" s="10">
        <f t="shared" si="22"/>
        <v>29188</v>
      </c>
      <c r="AA79" s="10">
        <f t="shared" si="22"/>
        <v>118368</v>
      </c>
      <c r="AB79" s="10">
        <f t="shared" si="22"/>
        <v>57841</v>
      </c>
      <c r="AC79" s="10">
        <f t="shared" si="22"/>
        <v>65256</v>
      </c>
      <c r="AD79" s="10">
        <f t="shared" si="22"/>
        <v>0</v>
      </c>
      <c r="AE79" s="10">
        <f t="shared" si="22"/>
        <v>521</v>
      </c>
      <c r="AF79" s="10">
        <f t="shared" si="22"/>
        <v>0</v>
      </c>
      <c r="AG79" s="10">
        <f t="shared" si="22"/>
        <v>1085</v>
      </c>
      <c r="AH79" s="10">
        <f t="shared" si="22"/>
        <v>192</v>
      </c>
      <c r="AI79" s="10">
        <f t="shared" si="22"/>
        <v>730</v>
      </c>
      <c r="AJ79" s="10">
        <f t="shared" ref="AJ79" si="24">AJ88-AJ70-AJ61-AJ52-AJ43-AJ34-AJ25-AJ16-AJ7</f>
        <v>0</v>
      </c>
      <c r="AK79" s="10">
        <f t="shared" ref="AK79:BO79" si="25">AK88-AK70-AK61-AK52-AK43-AK34-AK25-AK16-AK7</f>
        <v>0</v>
      </c>
      <c r="AL79" s="10">
        <f t="shared" si="25"/>
        <v>0</v>
      </c>
      <c r="AM79" s="10">
        <f t="shared" si="25"/>
        <v>0</v>
      </c>
      <c r="AN79" s="10">
        <f t="shared" si="25"/>
        <v>8020.0665464559788</v>
      </c>
      <c r="AO79" s="10">
        <f t="shared" si="25"/>
        <v>58796.759906455991</v>
      </c>
      <c r="AP79" s="10">
        <f t="shared" si="25"/>
        <v>0</v>
      </c>
      <c r="AQ79" s="10">
        <f t="shared" si="25"/>
        <v>0</v>
      </c>
      <c r="AR79" s="10">
        <f t="shared" si="25"/>
        <v>30146</v>
      </c>
      <c r="AS79" s="10">
        <f t="shared" si="25"/>
        <v>53005</v>
      </c>
      <c r="AT79" s="10">
        <f t="shared" si="25"/>
        <v>-1</v>
      </c>
      <c r="AU79" s="10">
        <f t="shared" si="25"/>
        <v>1876</v>
      </c>
      <c r="AV79" s="10">
        <f t="shared" si="25"/>
        <v>0</v>
      </c>
      <c r="AW79" s="10">
        <f t="shared" si="25"/>
        <v>0</v>
      </c>
      <c r="AX79" s="10">
        <f t="shared" si="25"/>
        <v>0</v>
      </c>
      <c r="AY79" s="10">
        <f t="shared" si="25"/>
        <v>155</v>
      </c>
      <c r="AZ79" s="10">
        <f t="shared" si="25"/>
        <v>0</v>
      </c>
      <c r="BA79" s="10">
        <f t="shared" si="25"/>
        <v>814</v>
      </c>
      <c r="BB79" s="10">
        <f t="shared" si="25"/>
        <v>0</v>
      </c>
      <c r="BC79" s="10">
        <f t="shared" si="25"/>
        <v>19</v>
      </c>
      <c r="BD79" s="10">
        <f t="shared" si="25"/>
        <v>0</v>
      </c>
      <c r="BE79" s="10">
        <f t="shared" si="25"/>
        <v>0</v>
      </c>
      <c r="BF79" s="10">
        <f t="shared" si="25"/>
        <v>11120</v>
      </c>
      <c r="BG79" s="10">
        <f t="shared" si="25"/>
        <v>12759</v>
      </c>
      <c r="BH79" s="10">
        <f t="shared" si="25"/>
        <v>-4150</v>
      </c>
      <c r="BI79" s="10">
        <f t="shared" si="25"/>
        <v>12147</v>
      </c>
      <c r="BJ79" s="10">
        <f t="shared" si="25"/>
        <v>21021</v>
      </c>
      <c r="BK79" s="10">
        <f t="shared" si="25"/>
        <v>25173</v>
      </c>
      <c r="BL79" s="10">
        <f t="shared" si="25"/>
        <v>2307</v>
      </c>
      <c r="BM79" s="10">
        <f t="shared" si="25"/>
        <v>20860</v>
      </c>
      <c r="BN79" s="10">
        <f t="shared" si="25"/>
        <v>0</v>
      </c>
      <c r="BO79" s="10">
        <f t="shared" si="25"/>
        <v>0</v>
      </c>
      <c r="BP79" s="88">
        <f t="shared" si="20"/>
        <v>260775.06654645599</v>
      </c>
      <c r="BQ79" s="88">
        <f t="shared" si="21"/>
        <v>667833.75990645599</v>
      </c>
    </row>
    <row r="80" spans="1:69" x14ac:dyDescent="0.25">
      <c r="A80" s="10" t="s">
        <v>275</v>
      </c>
      <c r="B80" s="10">
        <f t="shared" ref="B80:AI80" si="26">B89-B71-B62-B53-B44-B35-B26-B17-B8</f>
        <v>0</v>
      </c>
      <c r="C80" s="10">
        <f t="shared" si="26"/>
        <v>0</v>
      </c>
      <c r="D80" s="10">
        <f t="shared" si="26"/>
        <v>0</v>
      </c>
      <c r="E80" s="10">
        <f t="shared" si="26"/>
        <v>0</v>
      </c>
      <c r="F80" s="10">
        <f t="shared" si="26"/>
        <v>33333611</v>
      </c>
      <c r="G80" s="10">
        <f t="shared" si="26"/>
        <v>35777433</v>
      </c>
      <c r="H80" s="10">
        <f t="shared" si="26"/>
        <v>15745583</v>
      </c>
      <c r="I80" s="10">
        <f t="shared" si="26"/>
        <v>17517007</v>
      </c>
      <c r="J80" s="10">
        <f t="shared" si="26"/>
        <v>4504154</v>
      </c>
      <c r="K80" s="10">
        <f t="shared" si="26"/>
        <v>4642882</v>
      </c>
      <c r="L80" s="10">
        <f t="shared" si="26"/>
        <v>8067</v>
      </c>
      <c r="M80" s="10">
        <f t="shared" si="26"/>
        <v>15316</v>
      </c>
      <c r="N80" s="10">
        <f t="shared" si="26"/>
        <v>0</v>
      </c>
      <c r="O80" s="10">
        <f t="shared" si="26"/>
        <v>1014131.41</v>
      </c>
      <c r="P80" s="10">
        <f t="shared" si="26"/>
        <v>1808</v>
      </c>
      <c r="Q80" s="10">
        <f t="shared" si="26"/>
        <v>2096</v>
      </c>
      <c r="R80" s="10">
        <f t="shared" si="26"/>
        <v>2969045</v>
      </c>
      <c r="S80" s="10">
        <f t="shared" si="26"/>
        <v>4006579</v>
      </c>
      <c r="T80" s="10">
        <f t="shared" si="26"/>
        <v>83239</v>
      </c>
      <c r="U80" s="10">
        <f t="shared" ref="U80" si="27">U89-U71-U62-U53-U44-U35-U26-U17-U8</f>
        <v>174575</v>
      </c>
      <c r="V80" s="10">
        <f t="shared" si="26"/>
        <v>-13785922</v>
      </c>
      <c r="W80" s="10">
        <f t="shared" si="26"/>
        <v>-14966460</v>
      </c>
      <c r="X80" s="10">
        <f t="shared" si="26"/>
        <v>1357</v>
      </c>
      <c r="Y80" s="10">
        <f t="shared" si="26"/>
        <v>2784</v>
      </c>
      <c r="Z80" s="10">
        <f t="shared" si="26"/>
        <v>841668</v>
      </c>
      <c r="AA80" s="10">
        <f t="shared" si="26"/>
        <v>2229341</v>
      </c>
      <c r="AB80" s="10">
        <f t="shared" si="26"/>
        <v>5352317</v>
      </c>
      <c r="AC80" s="10">
        <f t="shared" si="26"/>
        <v>7686294</v>
      </c>
      <c r="AD80" s="10">
        <f t="shared" si="26"/>
        <v>8796</v>
      </c>
      <c r="AE80" s="10">
        <f t="shared" si="26"/>
        <v>18232</v>
      </c>
      <c r="AF80" s="10">
        <f t="shared" si="26"/>
        <v>67058</v>
      </c>
      <c r="AG80" s="10">
        <f t="shared" si="26"/>
        <v>308868</v>
      </c>
      <c r="AH80" s="10">
        <f t="shared" si="26"/>
        <v>-130686</v>
      </c>
      <c r="AI80" s="10">
        <f t="shared" si="26"/>
        <v>-165712</v>
      </c>
      <c r="AJ80" s="10">
        <f t="shared" ref="AJ80" si="28">AJ89-AJ71-AJ62-AJ53-AJ44-AJ35-AJ26-AJ17-AJ8</f>
        <v>-1</v>
      </c>
      <c r="AK80" s="10">
        <f t="shared" ref="AK80:BO80" si="29">AK89-AK71-AK62-AK53-AK44-AK35-AK26-AK17-AK8</f>
        <v>0</v>
      </c>
      <c r="AL80" s="10">
        <f t="shared" si="29"/>
        <v>0</v>
      </c>
      <c r="AM80" s="10">
        <f t="shared" si="29"/>
        <v>0</v>
      </c>
      <c r="AN80" s="10">
        <f t="shared" si="29"/>
        <v>542069.09454819886</v>
      </c>
      <c r="AO80" s="10">
        <f t="shared" si="29"/>
        <v>735135.09742206009</v>
      </c>
      <c r="AP80" s="10">
        <f t="shared" si="29"/>
        <v>668</v>
      </c>
      <c r="AQ80" s="10">
        <f t="shared" si="29"/>
        <v>-2728</v>
      </c>
      <c r="AR80" s="10">
        <f t="shared" si="29"/>
        <v>62416</v>
      </c>
      <c r="AS80" s="10">
        <f t="shared" si="29"/>
        <v>117379</v>
      </c>
      <c r="AT80" s="10">
        <f t="shared" si="29"/>
        <v>10269753</v>
      </c>
      <c r="AU80" s="10">
        <f t="shared" si="29"/>
        <v>12602116</v>
      </c>
      <c r="AV80" s="10">
        <f t="shared" si="29"/>
        <v>0</v>
      </c>
      <c r="AW80" s="10">
        <f t="shared" si="29"/>
        <v>0</v>
      </c>
      <c r="AX80" s="10">
        <f t="shared" si="29"/>
        <v>20590</v>
      </c>
      <c r="AY80" s="10">
        <f t="shared" si="29"/>
        <v>-1150</v>
      </c>
      <c r="AZ80" s="10">
        <f t="shared" si="29"/>
        <v>9221652</v>
      </c>
      <c r="BA80" s="10">
        <f t="shared" si="29"/>
        <v>11123823</v>
      </c>
      <c r="BB80" s="10">
        <f t="shared" si="29"/>
        <v>7426</v>
      </c>
      <c r="BC80" s="10">
        <f t="shared" si="29"/>
        <v>16332</v>
      </c>
      <c r="BD80" s="10">
        <f t="shared" si="29"/>
        <v>6335366</v>
      </c>
      <c r="BE80" s="10">
        <f t="shared" si="29"/>
        <v>10184754</v>
      </c>
      <c r="BF80" s="10">
        <f t="shared" si="29"/>
        <v>248933</v>
      </c>
      <c r="BG80" s="10">
        <f t="shared" si="29"/>
        <v>552953</v>
      </c>
      <c r="BH80" s="10">
        <f t="shared" si="29"/>
        <v>1556694</v>
      </c>
      <c r="BI80" s="10">
        <f t="shared" si="29"/>
        <v>1748844</v>
      </c>
      <c r="BJ80" s="10">
        <f t="shared" si="29"/>
        <v>830222</v>
      </c>
      <c r="BK80" s="10">
        <f t="shared" si="29"/>
        <v>980852</v>
      </c>
      <c r="BL80" s="10">
        <f t="shared" si="29"/>
        <v>822114</v>
      </c>
      <c r="BM80" s="10">
        <f t="shared" si="29"/>
        <v>1783290</v>
      </c>
      <c r="BN80" s="10">
        <f t="shared" si="29"/>
        <v>5061314</v>
      </c>
      <c r="BO80" s="10">
        <f t="shared" si="29"/>
        <v>5141407</v>
      </c>
      <c r="BP80" s="88">
        <f t="shared" si="20"/>
        <v>83979311.094548196</v>
      </c>
      <c r="BQ80" s="88">
        <f t="shared" si="21"/>
        <v>103246373.50742206</v>
      </c>
    </row>
    <row r="81" spans="1:69" x14ac:dyDescent="0.25">
      <c r="A81" s="10" t="s">
        <v>229</v>
      </c>
      <c r="B81" s="10">
        <f t="shared" ref="B81:AI81" si="30">B90-B72-B63-B54-B45-B36-B27-B18-B9</f>
        <v>0</v>
      </c>
      <c r="C81" s="10">
        <f t="shared" si="30"/>
        <v>0</v>
      </c>
      <c r="D81" s="10">
        <f t="shared" si="30"/>
        <v>0</v>
      </c>
      <c r="E81" s="10">
        <f t="shared" si="30"/>
        <v>0</v>
      </c>
      <c r="F81" s="10">
        <f t="shared" si="30"/>
        <v>35565581</v>
      </c>
      <c r="G81" s="10">
        <f t="shared" si="30"/>
        <v>36417918</v>
      </c>
      <c r="H81" s="10">
        <f t="shared" si="30"/>
        <v>4016090</v>
      </c>
      <c r="I81" s="10">
        <f t="shared" si="30"/>
        <v>4938180</v>
      </c>
      <c r="J81" s="10">
        <f t="shared" si="30"/>
        <v>1018561</v>
      </c>
      <c r="K81" s="10">
        <f t="shared" si="30"/>
        <v>1084979</v>
      </c>
      <c r="L81" s="10">
        <f t="shared" si="30"/>
        <v>96532</v>
      </c>
      <c r="M81" s="10">
        <f t="shared" si="30"/>
        <v>146792</v>
      </c>
      <c r="N81" s="10">
        <f t="shared" si="30"/>
        <v>2309521.86</v>
      </c>
      <c r="O81" s="10">
        <f t="shared" si="30"/>
        <v>3506223.94</v>
      </c>
      <c r="P81" s="10">
        <f t="shared" si="30"/>
        <v>55</v>
      </c>
      <c r="Q81" s="10">
        <f t="shared" si="30"/>
        <v>527</v>
      </c>
      <c r="R81" s="10">
        <f t="shared" si="30"/>
        <v>1030994</v>
      </c>
      <c r="S81" s="10">
        <f t="shared" si="30"/>
        <v>1510907</v>
      </c>
      <c r="T81" s="10">
        <f t="shared" si="30"/>
        <v>243741</v>
      </c>
      <c r="U81" s="10">
        <f t="shared" ref="U81" si="31">U90-U72-U63-U54-U45-U36-U27-U18-U9</f>
        <v>381168</v>
      </c>
      <c r="V81" s="10">
        <f t="shared" si="30"/>
        <v>3769828</v>
      </c>
      <c r="W81" s="10">
        <f t="shared" si="30"/>
        <v>4159690</v>
      </c>
      <c r="X81" s="10">
        <f t="shared" si="30"/>
        <v>970</v>
      </c>
      <c r="Y81" s="10">
        <f t="shared" si="30"/>
        <v>3290</v>
      </c>
      <c r="Z81" s="10">
        <f t="shared" si="30"/>
        <v>829380</v>
      </c>
      <c r="AA81" s="10">
        <f t="shared" si="30"/>
        <v>1821775</v>
      </c>
      <c r="AB81" s="10">
        <f t="shared" si="30"/>
        <v>1733489</v>
      </c>
      <c r="AC81" s="10">
        <f t="shared" si="30"/>
        <v>2536641</v>
      </c>
      <c r="AD81" s="10">
        <f t="shared" si="30"/>
        <v>22135</v>
      </c>
      <c r="AE81" s="10">
        <f t="shared" si="30"/>
        <v>33497</v>
      </c>
      <c r="AF81" s="10">
        <f t="shared" si="30"/>
        <v>94403</v>
      </c>
      <c r="AG81" s="10">
        <f t="shared" si="30"/>
        <v>89419</v>
      </c>
      <c r="AH81" s="10">
        <f t="shared" si="30"/>
        <v>6638</v>
      </c>
      <c r="AI81" s="10">
        <f t="shared" si="30"/>
        <v>12489</v>
      </c>
      <c r="AJ81" s="10">
        <f t="shared" ref="AJ81" si="32">AJ90-AJ72-AJ63-AJ54-AJ45-AJ36-AJ27-AJ18-AJ9</f>
        <v>-1</v>
      </c>
      <c r="AK81" s="10">
        <f t="shared" ref="AK81:BO81" si="33">AK90-AK72-AK63-AK54-AK45-AK36-AK27-AK18-AK9</f>
        <v>0</v>
      </c>
      <c r="AL81" s="10">
        <f t="shared" si="33"/>
        <v>0</v>
      </c>
      <c r="AM81" s="10">
        <f t="shared" si="33"/>
        <v>0</v>
      </c>
      <c r="AN81" s="10">
        <f t="shared" si="33"/>
        <v>6728855.0885620192</v>
      </c>
      <c r="AO81" s="10">
        <f t="shared" si="33"/>
        <v>7456537.1988449432</v>
      </c>
      <c r="AP81" s="10">
        <f t="shared" si="33"/>
        <v>4136</v>
      </c>
      <c r="AQ81" s="10">
        <f t="shared" si="33"/>
        <v>60542</v>
      </c>
      <c r="AR81" s="10">
        <f t="shared" si="33"/>
        <v>114029</v>
      </c>
      <c r="AS81" s="10">
        <f t="shared" si="33"/>
        <v>221985</v>
      </c>
      <c r="AT81" s="10">
        <f t="shared" si="33"/>
        <v>3025135</v>
      </c>
      <c r="AU81" s="10">
        <f t="shared" si="33"/>
        <v>3814863</v>
      </c>
      <c r="AV81" s="10">
        <f t="shared" si="33"/>
        <v>0</v>
      </c>
      <c r="AW81" s="10">
        <f t="shared" si="33"/>
        <v>0</v>
      </c>
      <c r="AX81" s="10">
        <f t="shared" si="33"/>
        <v>65680</v>
      </c>
      <c r="AY81" s="10">
        <f t="shared" si="33"/>
        <v>94218</v>
      </c>
      <c r="AZ81" s="10">
        <f t="shared" si="33"/>
        <v>2486673</v>
      </c>
      <c r="BA81" s="10">
        <f t="shared" si="33"/>
        <v>3207571</v>
      </c>
      <c r="BB81" s="10">
        <f t="shared" si="33"/>
        <v>26526</v>
      </c>
      <c r="BC81" s="10">
        <f t="shared" si="33"/>
        <v>55860</v>
      </c>
      <c r="BD81" s="10">
        <f t="shared" si="33"/>
        <v>17837450</v>
      </c>
      <c r="BE81" s="10">
        <f t="shared" si="33"/>
        <v>29374707</v>
      </c>
      <c r="BF81" s="10">
        <f t="shared" si="33"/>
        <v>384038</v>
      </c>
      <c r="BG81" s="10">
        <f t="shared" si="33"/>
        <v>746491</v>
      </c>
      <c r="BH81" s="10">
        <f t="shared" si="33"/>
        <v>9007789</v>
      </c>
      <c r="BI81" s="10">
        <f t="shared" si="33"/>
        <v>11646813</v>
      </c>
      <c r="BJ81" s="10">
        <f t="shared" si="33"/>
        <v>5022517</v>
      </c>
      <c r="BK81" s="10">
        <f t="shared" si="33"/>
        <v>6037787</v>
      </c>
      <c r="BL81" s="10">
        <f t="shared" si="33"/>
        <v>1046727</v>
      </c>
      <c r="BM81" s="10">
        <f t="shared" si="33"/>
        <v>2558318</v>
      </c>
      <c r="BN81" s="10">
        <f t="shared" si="33"/>
        <v>1278000</v>
      </c>
      <c r="BO81" s="10">
        <f t="shared" si="33"/>
        <v>1389217</v>
      </c>
      <c r="BP81" s="88">
        <f t="shared" si="20"/>
        <v>97765472.948562026</v>
      </c>
      <c r="BQ81" s="88">
        <f t="shared" si="21"/>
        <v>123308405.13884494</v>
      </c>
    </row>
    <row r="82" spans="1:69" x14ac:dyDescent="0.25">
      <c r="A82" s="10" t="s">
        <v>230</v>
      </c>
      <c r="B82" s="10">
        <f t="shared" ref="B82:AI82" si="34">B91-B73-B64-B55-B46-B37-B28-B19-B10</f>
        <v>0</v>
      </c>
      <c r="C82" s="10">
        <f t="shared" si="34"/>
        <v>0</v>
      </c>
      <c r="D82" s="10">
        <f t="shared" si="34"/>
        <v>0</v>
      </c>
      <c r="E82" s="10">
        <f t="shared" si="34"/>
        <v>0</v>
      </c>
      <c r="F82" s="10">
        <f t="shared" si="34"/>
        <v>28496703</v>
      </c>
      <c r="G82" s="10">
        <f t="shared" si="34"/>
        <v>29022625</v>
      </c>
      <c r="H82" s="10">
        <f t="shared" si="34"/>
        <v>3161672</v>
      </c>
      <c r="I82" s="10">
        <f t="shared" si="34"/>
        <v>4316015</v>
      </c>
      <c r="J82" s="10">
        <f t="shared" si="34"/>
        <v>459946</v>
      </c>
      <c r="K82" s="10">
        <f t="shared" si="34"/>
        <v>581544</v>
      </c>
      <c r="L82" s="10">
        <f t="shared" si="34"/>
        <v>87261</v>
      </c>
      <c r="M82" s="10">
        <f t="shared" si="34"/>
        <v>-1090231</v>
      </c>
      <c r="N82" s="10">
        <f t="shared" si="34"/>
        <v>2121172.79</v>
      </c>
      <c r="O82" s="10">
        <f t="shared" si="34"/>
        <v>3592013.1</v>
      </c>
      <c r="P82" s="10">
        <f t="shared" si="34"/>
        <v>68</v>
      </c>
      <c r="Q82" s="10">
        <f t="shared" si="34"/>
        <v>31</v>
      </c>
      <c r="R82" s="10">
        <f t="shared" si="34"/>
        <v>729380</v>
      </c>
      <c r="S82" s="10">
        <f t="shared" si="34"/>
        <v>1280112</v>
      </c>
      <c r="T82" s="10">
        <f t="shared" si="34"/>
        <v>132362</v>
      </c>
      <c r="U82" s="10">
        <f t="shared" ref="U82" si="35">U91-U73-U64-U55-U46-U37-U28-U19-U10</f>
        <v>219940</v>
      </c>
      <c r="V82" s="10">
        <f t="shared" si="34"/>
        <v>2372110</v>
      </c>
      <c r="W82" s="10">
        <f t="shared" si="34"/>
        <v>3061994</v>
      </c>
      <c r="X82" s="10">
        <f t="shared" si="34"/>
        <v>4943</v>
      </c>
      <c r="Y82" s="10">
        <f t="shared" si="34"/>
        <v>6591</v>
      </c>
      <c r="Z82" s="10">
        <f t="shared" si="34"/>
        <v>944211</v>
      </c>
      <c r="AA82" s="10">
        <f t="shared" si="34"/>
        <v>1884154</v>
      </c>
      <c r="AB82" s="10">
        <f t="shared" si="34"/>
        <v>1369758</v>
      </c>
      <c r="AC82" s="10">
        <f t="shared" si="34"/>
        <v>1750402</v>
      </c>
      <c r="AD82" s="10">
        <f t="shared" si="34"/>
        <v>10555</v>
      </c>
      <c r="AE82" s="10">
        <f t="shared" si="34"/>
        <v>19603</v>
      </c>
      <c r="AF82" s="10">
        <f t="shared" si="34"/>
        <v>79782</v>
      </c>
      <c r="AG82" s="10">
        <f t="shared" si="34"/>
        <v>155858</v>
      </c>
      <c r="AH82" s="10">
        <f t="shared" si="34"/>
        <v>5788</v>
      </c>
      <c r="AI82" s="10">
        <f t="shared" si="34"/>
        <v>11499</v>
      </c>
      <c r="AJ82" s="10">
        <f t="shared" ref="AJ82" si="36">AJ91-AJ73-AJ64-AJ55-AJ46-AJ37-AJ28-AJ19-AJ10</f>
        <v>1</v>
      </c>
      <c r="AK82" s="10">
        <f t="shared" ref="AK82:BO82" si="37">AK91-AK73-AK64-AK55-AK46-AK37-AK28-AK19-AK10</f>
        <v>0</v>
      </c>
      <c r="AL82" s="10">
        <f t="shared" si="37"/>
        <v>0</v>
      </c>
      <c r="AM82" s="10">
        <f t="shared" si="37"/>
        <v>0</v>
      </c>
      <c r="AN82" s="10">
        <f t="shared" si="37"/>
        <v>3529463.8725620182</v>
      </c>
      <c r="AO82" s="10">
        <f t="shared" si="37"/>
        <v>5171949.0506068487</v>
      </c>
      <c r="AP82" s="10">
        <f t="shared" si="37"/>
        <v>-160</v>
      </c>
      <c r="AQ82" s="10">
        <f t="shared" si="37"/>
        <v>136397</v>
      </c>
      <c r="AR82" s="10">
        <f t="shared" si="37"/>
        <v>94224</v>
      </c>
      <c r="AS82" s="10">
        <f t="shared" si="37"/>
        <v>181643</v>
      </c>
      <c r="AT82" s="10">
        <f t="shared" si="37"/>
        <v>2461867</v>
      </c>
      <c r="AU82" s="10">
        <f t="shared" si="37"/>
        <v>3240461</v>
      </c>
      <c r="AV82" s="10">
        <f t="shared" si="37"/>
        <v>0</v>
      </c>
      <c r="AW82" s="10">
        <f t="shared" si="37"/>
        <v>0</v>
      </c>
      <c r="AX82" s="10">
        <f t="shared" si="37"/>
        <v>69643</v>
      </c>
      <c r="AY82" s="10">
        <f t="shared" si="37"/>
        <v>98128</v>
      </c>
      <c r="AZ82" s="10">
        <f t="shared" si="37"/>
        <v>1322443</v>
      </c>
      <c r="BA82" s="10">
        <f t="shared" si="37"/>
        <v>2821893</v>
      </c>
      <c r="BB82" s="10">
        <f t="shared" si="37"/>
        <v>30314</v>
      </c>
      <c r="BC82" s="10">
        <f t="shared" si="37"/>
        <v>59971</v>
      </c>
      <c r="BD82" s="10">
        <f t="shared" si="37"/>
        <v>14811566</v>
      </c>
      <c r="BE82" s="10">
        <f t="shared" si="37"/>
        <v>25431958</v>
      </c>
      <c r="BF82" s="10">
        <f t="shared" si="37"/>
        <v>367904</v>
      </c>
      <c r="BG82" s="10">
        <f t="shared" si="37"/>
        <v>737327</v>
      </c>
      <c r="BH82" s="10">
        <f t="shared" si="37"/>
        <v>6154527</v>
      </c>
      <c r="BI82" s="10">
        <f t="shared" si="37"/>
        <v>8396378</v>
      </c>
      <c r="BJ82" s="10">
        <f t="shared" si="37"/>
        <v>2920833</v>
      </c>
      <c r="BK82" s="10">
        <f t="shared" si="37"/>
        <v>4698584</v>
      </c>
      <c r="BL82" s="10">
        <f t="shared" si="37"/>
        <v>1842298</v>
      </c>
      <c r="BM82" s="10">
        <f t="shared" si="37"/>
        <v>3130403</v>
      </c>
      <c r="BN82" s="10">
        <f t="shared" si="37"/>
        <v>624723</v>
      </c>
      <c r="BO82" s="10">
        <f t="shared" si="37"/>
        <v>743978</v>
      </c>
      <c r="BP82" s="88">
        <f t="shared" si="20"/>
        <v>74205358.662562013</v>
      </c>
      <c r="BQ82" s="88">
        <f t="shared" si="21"/>
        <v>99661220.150606841</v>
      </c>
    </row>
    <row r="84" spans="1:69" x14ac:dyDescent="0.25">
      <c r="A84" s="29" t="s">
        <v>42</v>
      </c>
    </row>
    <row r="85" spans="1:69" x14ac:dyDescent="0.25">
      <c r="A85" s="1" t="s">
        <v>0</v>
      </c>
      <c r="B85" s="116" t="s">
        <v>1</v>
      </c>
      <c r="C85" s="117"/>
      <c r="D85" s="116" t="s">
        <v>285</v>
      </c>
      <c r="E85" s="117"/>
      <c r="F85" s="116" t="s">
        <v>2</v>
      </c>
      <c r="G85" s="117"/>
      <c r="H85" s="116" t="s">
        <v>3</v>
      </c>
      <c r="I85" s="117"/>
      <c r="J85" s="116" t="s">
        <v>4</v>
      </c>
      <c r="K85" s="117"/>
      <c r="L85" s="116" t="s">
        <v>286</v>
      </c>
      <c r="M85" s="117"/>
      <c r="N85" s="116" t="s">
        <v>6</v>
      </c>
      <c r="O85" s="117"/>
      <c r="P85" s="116" t="s">
        <v>5</v>
      </c>
      <c r="Q85" s="117"/>
      <c r="R85" s="116" t="s">
        <v>7</v>
      </c>
      <c r="S85" s="117"/>
      <c r="T85" s="116" t="s">
        <v>287</v>
      </c>
      <c r="U85" s="117"/>
      <c r="V85" s="116" t="s">
        <v>8</v>
      </c>
      <c r="W85" s="117"/>
      <c r="X85" s="116" t="s">
        <v>288</v>
      </c>
      <c r="Y85" s="117"/>
      <c r="Z85" s="116" t="s">
        <v>9</v>
      </c>
      <c r="AA85" s="117"/>
      <c r="AB85" s="116" t="s">
        <v>10</v>
      </c>
      <c r="AC85" s="117"/>
      <c r="AD85" s="116" t="s">
        <v>289</v>
      </c>
      <c r="AE85" s="117"/>
      <c r="AF85" s="116" t="s">
        <v>11</v>
      </c>
      <c r="AG85" s="117"/>
      <c r="AH85" s="116" t="s">
        <v>12</v>
      </c>
      <c r="AI85" s="117"/>
      <c r="AJ85" s="116" t="s">
        <v>290</v>
      </c>
      <c r="AK85" s="117"/>
      <c r="AL85" s="116" t="s">
        <v>299</v>
      </c>
      <c r="AM85" s="117"/>
      <c r="AN85" s="116" t="s">
        <v>13</v>
      </c>
      <c r="AO85" s="117"/>
      <c r="AP85" s="116" t="s">
        <v>291</v>
      </c>
      <c r="AQ85" s="117"/>
      <c r="AR85" s="116" t="s">
        <v>292</v>
      </c>
      <c r="AS85" s="117"/>
      <c r="AT85" s="116" t="s">
        <v>307</v>
      </c>
      <c r="AU85" s="117"/>
      <c r="AV85" s="116" t="s">
        <v>293</v>
      </c>
      <c r="AW85" s="117"/>
      <c r="AX85" s="116" t="s">
        <v>14</v>
      </c>
      <c r="AY85" s="117"/>
      <c r="AZ85" s="116" t="s">
        <v>15</v>
      </c>
      <c r="BA85" s="117"/>
      <c r="BB85" s="116" t="s">
        <v>16</v>
      </c>
      <c r="BC85" s="117"/>
      <c r="BD85" s="116" t="s">
        <v>17</v>
      </c>
      <c r="BE85" s="117"/>
      <c r="BF85" s="116" t="s">
        <v>18</v>
      </c>
      <c r="BG85" s="117"/>
      <c r="BH85" s="116" t="s">
        <v>294</v>
      </c>
      <c r="BI85" s="117"/>
      <c r="BJ85" s="116" t="s">
        <v>295</v>
      </c>
      <c r="BK85" s="117"/>
      <c r="BL85" s="116" t="s">
        <v>19</v>
      </c>
      <c r="BM85" s="117"/>
      <c r="BN85" s="116" t="s">
        <v>20</v>
      </c>
      <c r="BO85" s="117"/>
      <c r="BP85" s="118" t="s">
        <v>21</v>
      </c>
      <c r="BQ85" s="119"/>
    </row>
    <row r="86" spans="1:69" ht="30" x14ac:dyDescent="0.25">
      <c r="A86" s="1"/>
      <c r="B86" s="67" t="s">
        <v>296</v>
      </c>
      <c r="C86" s="68" t="s">
        <v>297</v>
      </c>
      <c r="D86" s="67" t="s">
        <v>296</v>
      </c>
      <c r="E86" s="68" t="s">
        <v>297</v>
      </c>
      <c r="F86" s="67" t="s">
        <v>296</v>
      </c>
      <c r="G86" s="68" t="s">
        <v>297</v>
      </c>
      <c r="H86" s="67" t="s">
        <v>296</v>
      </c>
      <c r="I86" s="68" t="s">
        <v>297</v>
      </c>
      <c r="J86" s="67" t="s">
        <v>296</v>
      </c>
      <c r="K86" s="68" t="s">
        <v>297</v>
      </c>
      <c r="L86" s="67" t="s">
        <v>296</v>
      </c>
      <c r="M86" s="68" t="s">
        <v>297</v>
      </c>
      <c r="N86" s="67" t="s">
        <v>296</v>
      </c>
      <c r="O86" s="68" t="s">
        <v>297</v>
      </c>
      <c r="P86" s="67" t="s">
        <v>296</v>
      </c>
      <c r="Q86" s="68" t="s">
        <v>297</v>
      </c>
      <c r="R86" s="67" t="s">
        <v>296</v>
      </c>
      <c r="S86" s="68" t="s">
        <v>297</v>
      </c>
      <c r="T86" s="67" t="s">
        <v>296</v>
      </c>
      <c r="U86" s="68" t="s">
        <v>297</v>
      </c>
      <c r="V86" s="67" t="s">
        <v>296</v>
      </c>
      <c r="W86" s="68" t="s">
        <v>297</v>
      </c>
      <c r="X86" s="67" t="s">
        <v>296</v>
      </c>
      <c r="Y86" s="68" t="s">
        <v>297</v>
      </c>
      <c r="Z86" s="67" t="s">
        <v>296</v>
      </c>
      <c r="AA86" s="68" t="s">
        <v>297</v>
      </c>
      <c r="AB86" s="67" t="s">
        <v>296</v>
      </c>
      <c r="AC86" s="68" t="s">
        <v>297</v>
      </c>
      <c r="AD86" s="67" t="s">
        <v>296</v>
      </c>
      <c r="AE86" s="68" t="s">
        <v>297</v>
      </c>
      <c r="AF86" s="67" t="s">
        <v>296</v>
      </c>
      <c r="AG86" s="68" t="s">
        <v>297</v>
      </c>
      <c r="AH86" s="67" t="s">
        <v>296</v>
      </c>
      <c r="AI86" s="68" t="s">
        <v>297</v>
      </c>
      <c r="AJ86" s="67" t="s">
        <v>296</v>
      </c>
      <c r="AK86" s="68" t="s">
        <v>297</v>
      </c>
      <c r="AL86" s="67" t="s">
        <v>296</v>
      </c>
      <c r="AM86" s="68" t="s">
        <v>297</v>
      </c>
      <c r="AN86" s="67" t="s">
        <v>296</v>
      </c>
      <c r="AO86" s="68" t="s">
        <v>297</v>
      </c>
      <c r="AP86" s="67" t="s">
        <v>296</v>
      </c>
      <c r="AQ86" s="68" t="s">
        <v>297</v>
      </c>
      <c r="AR86" s="67" t="s">
        <v>296</v>
      </c>
      <c r="AS86" s="68" t="s">
        <v>297</v>
      </c>
      <c r="AT86" s="67" t="s">
        <v>296</v>
      </c>
      <c r="AU86" s="68" t="s">
        <v>297</v>
      </c>
      <c r="AV86" s="67" t="s">
        <v>296</v>
      </c>
      <c r="AW86" s="68" t="s">
        <v>297</v>
      </c>
      <c r="AX86" s="67" t="s">
        <v>296</v>
      </c>
      <c r="AY86" s="68" t="s">
        <v>297</v>
      </c>
      <c r="AZ86" s="67" t="s">
        <v>296</v>
      </c>
      <c r="BA86" s="68" t="s">
        <v>297</v>
      </c>
      <c r="BB86" s="67" t="s">
        <v>296</v>
      </c>
      <c r="BC86" s="68" t="s">
        <v>297</v>
      </c>
      <c r="BD86" s="67" t="s">
        <v>296</v>
      </c>
      <c r="BE86" s="68" t="s">
        <v>297</v>
      </c>
      <c r="BF86" s="67" t="s">
        <v>296</v>
      </c>
      <c r="BG86" s="68" t="s">
        <v>297</v>
      </c>
      <c r="BH86" s="67" t="s">
        <v>296</v>
      </c>
      <c r="BI86" s="68" t="s">
        <v>297</v>
      </c>
      <c r="BJ86" s="67" t="s">
        <v>296</v>
      </c>
      <c r="BK86" s="68" t="s">
        <v>297</v>
      </c>
      <c r="BL86" s="67" t="s">
        <v>296</v>
      </c>
      <c r="BM86" s="68" t="s">
        <v>297</v>
      </c>
      <c r="BN86" s="67" t="s">
        <v>296</v>
      </c>
      <c r="BO86" s="68" t="s">
        <v>297</v>
      </c>
      <c r="BP86" s="84" t="s">
        <v>280</v>
      </c>
      <c r="BQ86" s="85" t="s">
        <v>281</v>
      </c>
    </row>
    <row r="87" spans="1:69" x14ac:dyDescent="0.25">
      <c r="A87" s="10" t="s">
        <v>271</v>
      </c>
      <c r="B87" s="10">
        <v>933766</v>
      </c>
      <c r="C87" s="10">
        <v>1495925</v>
      </c>
      <c r="D87" s="10">
        <v>3044232</v>
      </c>
      <c r="E87" s="10">
        <v>5500209</v>
      </c>
      <c r="F87" s="10">
        <v>68899281</v>
      </c>
      <c r="G87" s="10">
        <v>72195440</v>
      </c>
      <c r="H87" s="10">
        <v>41424157</v>
      </c>
      <c r="I87" s="10">
        <v>64089427</v>
      </c>
      <c r="J87" s="10">
        <v>10470387</v>
      </c>
      <c r="K87" s="10">
        <v>15559635</v>
      </c>
      <c r="L87" s="10">
        <v>10911846</v>
      </c>
      <c r="M87" s="10">
        <v>19509549</v>
      </c>
      <c r="N87" s="10">
        <v>2814641.93</v>
      </c>
      <c r="O87" s="10">
        <v>4520355.3499999996</v>
      </c>
      <c r="P87" s="10">
        <v>575198</v>
      </c>
      <c r="Q87" s="10">
        <v>940188</v>
      </c>
      <c r="R87" s="10">
        <v>9249139</v>
      </c>
      <c r="S87" s="10">
        <v>15973892</v>
      </c>
      <c r="T87" s="10">
        <v>5666621</v>
      </c>
      <c r="U87" s="10">
        <v>9730422</v>
      </c>
      <c r="V87" s="10">
        <v>33460747</v>
      </c>
      <c r="W87" s="10">
        <v>48846540</v>
      </c>
      <c r="X87" s="10">
        <v>5862344</v>
      </c>
      <c r="Y87" s="10">
        <v>10320464</v>
      </c>
      <c r="Z87" s="10">
        <v>31892512</v>
      </c>
      <c r="AA87" s="10">
        <v>64914632</v>
      </c>
      <c r="AB87" s="10">
        <v>24934704</v>
      </c>
      <c r="AC87" s="10">
        <v>42279476</v>
      </c>
      <c r="AD87" s="10">
        <v>1361563</v>
      </c>
      <c r="AE87" s="10">
        <v>2335836</v>
      </c>
      <c r="AF87" s="10">
        <v>3311779</v>
      </c>
      <c r="AG87" s="10">
        <v>6507250</v>
      </c>
      <c r="AH87" s="10">
        <v>2997934</v>
      </c>
      <c r="AI87" s="10">
        <v>5135694</v>
      </c>
      <c r="AJ87" s="10">
        <v>1861050</v>
      </c>
      <c r="AK87" s="10">
        <v>3291747</v>
      </c>
      <c r="AL87" s="10">
        <v>4132522</v>
      </c>
      <c r="AM87" s="10">
        <v>7192732</v>
      </c>
      <c r="AN87" s="10">
        <v>43434826.417667627</v>
      </c>
      <c r="AO87" s="10">
        <v>70454988.557681978</v>
      </c>
      <c r="AP87" s="10">
        <v>281587</v>
      </c>
      <c r="AQ87" s="10">
        <v>387262</v>
      </c>
      <c r="AR87" s="10">
        <v>542507</v>
      </c>
      <c r="AS87" s="10">
        <v>903834</v>
      </c>
      <c r="AT87" s="10">
        <v>26486526</v>
      </c>
      <c r="AU87" s="10">
        <v>45005533</v>
      </c>
      <c r="AV87" s="10">
        <v>6585465</v>
      </c>
      <c r="AW87" s="10">
        <v>11401759</v>
      </c>
      <c r="AX87" s="10">
        <v>6354342</v>
      </c>
      <c r="AY87" s="10">
        <v>12198741</v>
      </c>
      <c r="AZ87" s="10">
        <v>24145014</v>
      </c>
      <c r="BA87" s="10">
        <v>36196703</v>
      </c>
      <c r="BB87" s="10">
        <v>5516924</v>
      </c>
      <c r="BC87" s="10">
        <v>10089345</v>
      </c>
      <c r="BD87" s="10">
        <v>24172816</v>
      </c>
      <c r="BE87" s="10">
        <v>39559462</v>
      </c>
      <c r="BF87" s="10">
        <v>19820184</v>
      </c>
      <c r="BG87" s="10">
        <v>37809842</v>
      </c>
      <c r="BH87" s="10">
        <v>74293813</v>
      </c>
      <c r="BI87" s="10">
        <v>153709715</v>
      </c>
      <c r="BJ87" s="10">
        <v>35659027</v>
      </c>
      <c r="BK87" s="10">
        <v>64272083</v>
      </c>
      <c r="BL87" s="108">
        <v>37576597</v>
      </c>
      <c r="BM87" s="108">
        <v>77274191</v>
      </c>
      <c r="BN87" s="10">
        <v>9350566</v>
      </c>
      <c r="BO87" s="10">
        <v>13536772</v>
      </c>
      <c r="BP87" s="88">
        <f t="shared" ref="BP87:BP91" si="38">SUM(B87+D87+F87+H87+J87+L87+N87+P87+R87+T87+V87+X87+Z87+AB87+AD87+AF87+AH87+AJ87+AL87+AN87+AP87+AR87+AT87+AV87+AX87+AZ87+BB87+BD87+BF87+BH87+BJ87+BL87+BN87)</f>
        <v>578024618.34766769</v>
      </c>
      <c r="BQ87" s="88">
        <f t="shared" ref="BQ87:BQ91" si="39">SUM(C87+E87+G87+I87+K87+M87+O87+Q87+S87+U87+W87+Y87+AA87+AC87+AE87+AG87+AI87+AK87+AM87+AO87+AQ87+AS87+AU87+AW87+AY87+BA87+BC87+BE87+BG87+BI87+BK87+BM87+BO87)</f>
        <v>973139643.90768194</v>
      </c>
    </row>
    <row r="88" spans="1:69" x14ac:dyDescent="0.25">
      <c r="A88" s="10" t="s">
        <v>274</v>
      </c>
      <c r="B88" s="10"/>
      <c r="C88" s="10"/>
      <c r="D88" s="10"/>
      <c r="E88" s="10"/>
      <c r="F88" s="10">
        <v>-89</v>
      </c>
      <c r="G88" s="10">
        <v>-89</v>
      </c>
      <c r="H88" s="10">
        <v>131511</v>
      </c>
      <c r="I88" s="10">
        <v>357456</v>
      </c>
      <c r="J88" s="10">
        <v>80080</v>
      </c>
      <c r="K88" s="10">
        <v>184751</v>
      </c>
      <c r="L88" s="10">
        <v>34051</v>
      </c>
      <c r="M88" s="10">
        <v>69748</v>
      </c>
      <c r="N88" s="10"/>
      <c r="O88" s="10"/>
      <c r="P88" s="10">
        <v>10150</v>
      </c>
      <c r="Q88" s="10">
        <v>46061</v>
      </c>
      <c r="R88" s="10">
        <v>142757</v>
      </c>
      <c r="S88" s="10">
        <v>450672</v>
      </c>
      <c r="T88" s="10">
        <v>1345004</v>
      </c>
      <c r="U88" s="10">
        <v>3389204</v>
      </c>
      <c r="V88" s="10">
        <v>199846</v>
      </c>
      <c r="W88" s="10">
        <v>943511</v>
      </c>
      <c r="X88" s="10"/>
      <c r="Y88" s="10"/>
      <c r="Z88" s="10">
        <v>652599</v>
      </c>
      <c r="AA88" s="10">
        <v>1572599</v>
      </c>
      <c r="AB88" s="10">
        <v>263668</v>
      </c>
      <c r="AC88" s="10">
        <v>672787</v>
      </c>
      <c r="AD88" s="10">
        <v>8868</v>
      </c>
      <c r="AE88" s="10">
        <v>18516</v>
      </c>
      <c r="AF88" s="10">
        <v>23991</v>
      </c>
      <c r="AG88" s="10">
        <v>65900</v>
      </c>
      <c r="AH88" s="10">
        <v>132121</v>
      </c>
      <c r="AI88" s="10">
        <v>396810</v>
      </c>
      <c r="AJ88" s="10"/>
      <c r="AK88" s="10"/>
      <c r="AL88" s="10"/>
      <c r="AM88" s="10"/>
      <c r="AN88" s="10">
        <v>139063.75581376004</v>
      </c>
      <c r="AO88" s="10">
        <v>1023679.86583376</v>
      </c>
      <c r="AP88" s="10">
        <v>1774</v>
      </c>
      <c r="AQ88" s="10">
        <v>2959</v>
      </c>
      <c r="AR88" s="10">
        <v>38913</v>
      </c>
      <c r="AS88" s="10">
        <v>75558</v>
      </c>
      <c r="AT88" s="10">
        <v>251262</v>
      </c>
      <c r="AU88" s="10">
        <v>577203</v>
      </c>
      <c r="AV88" s="10">
        <v>44558</v>
      </c>
      <c r="AW88" s="10">
        <v>176637</v>
      </c>
      <c r="AX88" s="10">
        <v>119289</v>
      </c>
      <c r="AY88" s="10">
        <v>371626</v>
      </c>
      <c r="AZ88" s="10">
        <v>24961</v>
      </c>
      <c r="BA88" s="10">
        <v>382985</v>
      </c>
      <c r="BB88" s="10">
        <v>16641</v>
      </c>
      <c r="BC88" s="10">
        <v>36890</v>
      </c>
      <c r="BD88" s="10"/>
      <c r="BE88" s="10"/>
      <c r="BF88" s="10">
        <v>364709</v>
      </c>
      <c r="BG88" s="10">
        <v>1178415</v>
      </c>
      <c r="BH88" s="10">
        <v>3477755</v>
      </c>
      <c r="BI88" s="10">
        <v>7745557</v>
      </c>
      <c r="BJ88" s="10">
        <v>832058</v>
      </c>
      <c r="BK88" s="10">
        <v>1363605</v>
      </c>
      <c r="BL88" s="108">
        <v>297863</v>
      </c>
      <c r="BM88" s="108">
        <v>704747</v>
      </c>
      <c r="BN88" s="10">
        <v>8787</v>
      </c>
      <c r="BO88" s="10">
        <v>14994</v>
      </c>
      <c r="BP88" s="88">
        <f t="shared" si="38"/>
        <v>8642190.7558137607</v>
      </c>
      <c r="BQ88" s="88">
        <f t="shared" si="39"/>
        <v>21822781.865833759</v>
      </c>
    </row>
    <row r="89" spans="1:69" x14ac:dyDescent="0.25">
      <c r="A89" s="10" t="s">
        <v>275</v>
      </c>
      <c r="B89" s="10">
        <v>463922</v>
      </c>
      <c r="C89" s="10">
        <v>742108</v>
      </c>
      <c r="D89" s="10">
        <v>794622</v>
      </c>
      <c r="E89" s="10">
        <v>1416977</v>
      </c>
      <c r="F89" s="10">
        <v>33333611</v>
      </c>
      <c r="G89" s="10">
        <v>35777433</v>
      </c>
      <c r="H89" s="10">
        <v>20696744</v>
      </c>
      <c r="I89" s="10">
        <v>29850561</v>
      </c>
      <c r="J89" s="10">
        <v>5549101</v>
      </c>
      <c r="K89" s="10">
        <v>7321189</v>
      </c>
      <c r="L89" s="10">
        <v>2624725</v>
      </c>
      <c r="M89" s="10">
        <v>4894285</v>
      </c>
      <c r="N89" s="10"/>
      <c r="O89" s="10">
        <v>1014131.41</v>
      </c>
      <c r="P89" s="10">
        <v>70842</v>
      </c>
      <c r="Q89" s="10">
        <v>169736</v>
      </c>
      <c r="R89" s="10">
        <v>4054844</v>
      </c>
      <c r="S89" s="10">
        <v>6916532</v>
      </c>
      <c r="T89" s="10">
        <v>1138127</v>
      </c>
      <c r="U89" s="10">
        <v>3378554</v>
      </c>
      <c r="V89" s="10">
        <v>-20160316</v>
      </c>
      <c r="W89" s="10">
        <v>-28099456</v>
      </c>
      <c r="X89" s="10">
        <v>1773435</v>
      </c>
      <c r="Y89" s="10">
        <v>3076850</v>
      </c>
      <c r="Z89" s="10">
        <v>7623100</v>
      </c>
      <c r="AA89" s="10">
        <v>19373910</v>
      </c>
      <c r="AB89" s="10">
        <v>9703305</v>
      </c>
      <c r="AC89" s="10">
        <v>17063884</v>
      </c>
      <c r="AD89" s="10">
        <v>161912</v>
      </c>
      <c r="AE89" s="10">
        <v>289667</v>
      </c>
      <c r="AF89" s="10">
        <v>431963</v>
      </c>
      <c r="AG89" s="10">
        <v>1411245</v>
      </c>
      <c r="AH89" s="10">
        <v>-1151807</v>
      </c>
      <c r="AI89" s="10">
        <v>-2178193</v>
      </c>
      <c r="AJ89" s="10">
        <v>96855</v>
      </c>
      <c r="AK89" s="10">
        <v>170855</v>
      </c>
      <c r="AL89" s="10">
        <v>960798</v>
      </c>
      <c r="AM89" s="10">
        <v>1674486</v>
      </c>
      <c r="AN89" s="10">
        <v>4002523.5149341198</v>
      </c>
      <c r="AO89" s="10">
        <v>7979040.9172525983</v>
      </c>
      <c r="AP89" s="10">
        <v>-41899</v>
      </c>
      <c r="AQ89" s="10">
        <v>-56906</v>
      </c>
      <c r="AR89" s="10">
        <v>127082</v>
      </c>
      <c r="AS89" s="10">
        <v>226508</v>
      </c>
      <c r="AT89" s="10">
        <v>15531500</v>
      </c>
      <c r="AU89" s="10">
        <v>24631774</v>
      </c>
      <c r="AV89" s="10">
        <v>1592872</v>
      </c>
      <c r="AW89" s="10">
        <v>2811776</v>
      </c>
      <c r="AX89" s="10">
        <v>-1681281</v>
      </c>
      <c r="AY89" s="10">
        <v>-3825887</v>
      </c>
      <c r="AZ89" s="10">
        <v>13803051</v>
      </c>
      <c r="BA89" s="10">
        <v>19260679</v>
      </c>
      <c r="BB89" s="10">
        <v>386249</v>
      </c>
      <c r="BC89" s="10">
        <v>715224</v>
      </c>
      <c r="BD89" s="10">
        <v>6335366</v>
      </c>
      <c r="BE89" s="10">
        <v>10184754</v>
      </c>
      <c r="BF89" s="10">
        <v>6113629</v>
      </c>
      <c r="BG89" s="10">
        <v>13834364</v>
      </c>
      <c r="BH89" s="10">
        <v>12337356</v>
      </c>
      <c r="BI89" s="10">
        <v>28176701</v>
      </c>
      <c r="BJ89" s="10">
        <v>5623779</v>
      </c>
      <c r="BK89" s="10">
        <v>11803673</v>
      </c>
      <c r="BL89" s="108">
        <v>6574549</v>
      </c>
      <c r="BM89" s="108">
        <v>15281348</v>
      </c>
      <c r="BN89" s="10">
        <v>5582447</v>
      </c>
      <c r="BO89" s="10">
        <v>6909874</v>
      </c>
      <c r="BP89" s="88">
        <f t="shared" si="38"/>
        <v>144453006.51493412</v>
      </c>
      <c r="BQ89" s="88">
        <f t="shared" si="39"/>
        <v>242197677.3272526</v>
      </c>
    </row>
    <row r="90" spans="1:69" x14ac:dyDescent="0.25">
      <c r="A90" s="10" t="s">
        <v>229</v>
      </c>
      <c r="B90" s="10">
        <v>469844</v>
      </c>
      <c r="C90" s="10">
        <v>753817</v>
      </c>
      <c r="D90" s="10">
        <v>2249610</v>
      </c>
      <c r="E90" s="10">
        <v>4083232</v>
      </c>
      <c r="F90" s="10">
        <v>35565581</v>
      </c>
      <c r="G90" s="10">
        <v>36417918</v>
      </c>
      <c r="H90" s="10">
        <v>20858924</v>
      </c>
      <c r="I90" s="10">
        <v>34596322</v>
      </c>
      <c r="J90" s="10">
        <v>5001366</v>
      </c>
      <c r="K90" s="10">
        <v>8423197</v>
      </c>
      <c r="L90" s="10">
        <v>8321172</v>
      </c>
      <c r="M90" s="10">
        <v>14685012</v>
      </c>
      <c r="N90" s="10">
        <v>2309521.86</v>
      </c>
      <c r="O90" s="10">
        <v>3506223.94</v>
      </c>
      <c r="P90" s="10">
        <v>514506</v>
      </c>
      <c r="Q90" s="10">
        <v>816513</v>
      </c>
      <c r="R90" s="10">
        <v>5337052</v>
      </c>
      <c r="S90" s="10">
        <v>9508032</v>
      </c>
      <c r="T90" s="10">
        <v>5873497</v>
      </c>
      <c r="U90" s="10">
        <v>9741072</v>
      </c>
      <c r="V90" s="10">
        <v>13500277</v>
      </c>
      <c r="W90" s="10">
        <v>21690594</v>
      </c>
      <c r="X90" s="10">
        <v>4088909</v>
      </c>
      <c r="Y90" s="10">
        <v>7243614</v>
      </c>
      <c r="Z90" s="10">
        <v>24922011</v>
      </c>
      <c r="AA90" s="10">
        <v>47113321</v>
      </c>
      <c r="AB90" s="10">
        <v>15495067</v>
      </c>
      <c r="AC90" s="10">
        <v>25888379</v>
      </c>
      <c r="AD90" s="10">
        <v>1208519</v>
      </c>
      <c r="AE90" s="10">
        <v>2064685</v>
      </c>
      <c r="AF90" s="10">
        <v>2903806</v>
      </c>
      <c r="AG90" s="10">
        <v>5161905</v>
      </c>
      <c r="AH90" s="10">
        <v>1978248</v>
      </c>
      <c r="AI90" s="10">
        <v>3354311</v>
      </c>
      <c r="AJ90" s="10">
        <v>1764194</v>
      </c>
      <c r="AK90" s="10">
        <v>3120892</v>
      </c>
      <c r="AL90" s="10">
        <v>3171724</v>
      </c>
      <c r="AM90" s="10">
        <v>5518246</v>
      </c>
      <c r="AN90" s="10">
        <v>39571366.658547267</v>
      </c>
      <c r="AO90" s="10">
        <v>63499627.506263137</v>
      </c>
      <c r="AP90" s="10">
        <v>241462</v>
      </c>
      <c r="AQ90" s="10">
        <v>333315</v>
      </c>
      <c r="AR90" s="10">
        <v>454339</v>
      </c>
      <c r="AS90" s="10">
        <v>752885</v>
      </c>
      <c r="AT90" s="10">
        <v>11206288</v>
      </c>
      <c r="AU90" s="10">
        <v>20950962</v>
      </c>
      <c r="AV90" s="10">
        <v>5037151</v>
      </c>
      <c r="AW90" s="10">
        <v>8766620</v>
      </c>
      <c r="AX90" s="10">
        <v>4792350</v>
      </c>
      <c r="AY90" s="10">
        <v>8744480</v>
      </c>
      <c r="AZ90" s="10">
        <v>10366924</v>
      </c>
      <c r="BA90" s="10">
        <v>17319009</v>
      </c>
      <c r="BB90" s="10">
        <v>5147316</v>
      </c>
      <c r="BC90" s="10">
        <v>9411011</v>
      </c>
      <c r="BD90" s="10">
        <v>17837450</v>
      </c>
      <c r="BE90" s="10">
        <v>29374707</v>
      </c>
      <c r="BF90" s="10">
        <v>14071264</v>
      </c>
      <c r="BG90" s="10">
        <v>25153893</v>
      </c>
      <c r="BH90" s="10">
        <v>65434212</v>
      </c>
      <c r="BI90" s="10">
        <v>133278570</v>
      </c>
      <c r="BJ90" s="10">
        <v>30867306</v>
      </c>
      <c r="BK90" s="10">
        <v>53832015</v>
      </c>
      <c r="BL90" s="108">
        <v>31299911</v>
      </c>
      <c r="BM90" s="108">
        <v>62697590</v>
      </c>
      <c r="BN90" s="10">
        <v>3776906</v>
      </c>
      <c r="BO90" s="10">
        <v>6641892</v>
      </c>
      <c r="BP90" s="88">
        <f t="shared" si="38"/>
        <v>395638074.5185473</v>
      </c>
      <c r="BQ90" s="88">
        <f t="shared" si="39"/>
        <v>684443862.44626307</v>
      </c>
    </row>
    <row r="91" spans="1:69" x14ac:dyDescent="0.25">
      <c r="A91" s="10" t="s">
        <v>230</v>
      </c>
      <c r="B91" s="10">
        <v>386184</v>
      </c>
      <c r="C91" s="10">
        <v>669683</v>
      </c>
      <c r="D91" s="10">
        <v>1783213</v>
      </c>
      <c r="E91" s="10">
        <v>3299316</v>
      </c>
      <c r="F91" s="10">
        <v>28496703</v>
      </c>
      <c r="G91" s="10">
        <v>29022625</v>
      </c>
      <c r="H91" s="10">
        <v>19858818</v>
      </c>
      <c r="I91" s="10">
        <v>38036897</v>
      </c>
      <c r="J91" s="10">
        <v>4645285</v>
      </c>
      <c r="K91" s="10">
        <v>8809089</v>
      </c>
      <c r="L91" s="10">
        <v>7932971</v>
      </c>
      <c r="M91" s="10">
        <v>14685012</v>
      </c>
      <c r="N91" s="10">
        <v>2121172.79</v>
      </c>
      <c r="O91" s="10">
        <v>3592013.1</v>
      </c>
      <c r="P91" s="10">
        <v>403543</v>
      </c>
      <c r="Q91" s="10">
        <v>753102</v>
      </c>
      <c r="R91" s="10">
        <v>5141575</v>
      </c>
      <c r="S91" s="10">
        <v>10030786</v>
      </c>
      <c r="T91" s="10">
        <v>4418835</v>
      </c>
      <c r="U91" s="10">
        <v>8301479</v>
      </c>
      <c r="V91" s="10">
        <v>12194684</v>
      </c>
      <c r="W91" s="10">
        <v>22432033</v>
      </c>
      <c r="X91" s="10">
        <v>4715181</v>
      </c>
      <c r="Y91" s="10">
        <v>6996308</v>
      </c>
      <c r="Z91" s="10">
        <v>24625241</v>
      </c>
      <c r="AA91" s="10">
        <v>47863633</v>
      </c>
      <c r="AB91" s="10">
        <v>12473315</v>
      </c>
      <c r="AC91" s="10">
        <v>22913641</v>
      </c>
      <c r="AD91" s="10">
        <v>954521</v>
      </c>
      <c r="AE91" s="10">
        <v>1806502</v>
      </c>
      <c r="AF91" s="10">
        <v>3186634</v>
      </c>
      <c r="AG91" s="10">
        <v>6301678</v>
      </c>
      <c r="AH91" s="10">
        <v>1904280</v>
      </c>
      <c r="AI91" s="10">
        <v>3779858</v>
      </c>
      <c r="AJ91" s="10">
        <v>1483037</v>
      </c>
      <c r="AK91" s="10">
        <v>2759357</v>
      </c>
      <c r="AL91" s="10">
        <v>2663665</v>
      </c>
      <c r="AM91" s="10">
        <v>4812852</v>
      </c>
      <c r="AN91" s="10">
        <v>31552217.336067267</v>
      </c>
      <c r="AO91" s="10">
        <v>55728922.577345043</v>
      </c>
      <c r="AP91" s="10">
        <v>284130</v>
      </c>
      <c r="AQ91" s="10">
        <v>497924</v>
      </c>
      <c r="AR91" s="10">
        <v>388326</v>
      </c>
      <c r="AS91" s="10">
        <v>737065</v>
      </c>
      <c r="AT91" s="10">
        <v>10069402</v>
      </c>
      <c r="AU91" s="10">
        <v>18255476</v>
      </c>
      <c r="AV91" s="10">
        <v>4213283</v>
      </c>
      <c r="AW91" s="10">
        <v>7427741</v>
      </c>
      <c r="AX91" s="10">
        <v>5186203</v>
      </c>
      <c r="AY91" s="10">
        <v>10441703</v>
      </c>
      <c r="AZ91" s="10">
        <v>8769824</v>
      </c>
      <c r="BA91" s="10">
        <v>17364934</v>
      </c>
      <c r="BB91" s="10">
        <v>5482628</v>
      </c>
      <c r="BC91" s="10">
        <v>11102111</v>
      </c>
      <c r="BD91" s="10">
        <v>14811566</v>
      </c>
      <c r="BE91" s="10">
        <v>25431958</v>
      </c>
      <c r="BF91" s="10">
        <v>11845199</v>
      </c>
      <c r="BG91" s="10">
        <v>23244356</v>
      </c>
      <c r="BH91" s="10">
        <v>65694105</v>
      </c>
      <c r="BI91" s="10">
        <v>125869648</v>
      </c>
      <c r="BJ91" s="10">
        <v>27971219</v>
      </c>
      <c r="BK91" s="10">
        <v>52390049</v>
      </c>
      <c r="BL91" s="108">
        <v>31482127</v>
      </c>
      <c r="BM91" s="108">
        <v>63098788</v>
      </c>
      <c r="BN91" s="10">
        <v>3759864</v>
      </c>
      <c r="BO91" s="10">
        <v>6832424</v>
      </c>
      <c r="BP91" s="88">
        <f t="shared" si="38"/>
        <v>360898951.12606728</v>
      </c>
      <c r="BQ91" s="88">
        <f t="shared" si="39"/>
        <v>655288963.67734504</v>
      </c>
    </row>
  </sheetData>
  <mergeCells count="340">
    <mergeCell ref="J4:K4"/>
    <mergeCell ref="L4:M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BJ4:BK4"/>
    <mergeCell ref="BL4:BM4"/>
    <mergeCell ref="BN4:BO4"/>
    <mergeCell ref="BP4:BQ4"/>
    <mergeCell ref="B13:C13"/>
    <mergeCell ref="D13:E13"/>
    <mergeCell ref="F13:G13"/>
    <mergeCell ref="H13:I13"/>
    <mergeCell ref="J13:K13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B4:C4"/>
    <mergeCell ref="D4:E4"/>
    <mergeCell ref="F4:G4"/>
    <mergeCell ref="H4:I4"/>
    <mergeCell ref="BN13:BO13"/>
    <mergeCell ref="BP13:BQ13"/>
    <mergeCell ref="AV13:AW13"/>
    <mergeCell ref="AX13:AY13"/>
    <mergeCell ref="AZ13:BA13"/>
    <mergeCell ref="BB13:BC13"/>
    <mergeCell ref="BD13:BE13"/>
    <mergeCell ref="BF13:BG13"/>
    <mergeCell ref="R13:S13"/>
    <mergeCell ref="T13:U13"/>
    <mergeCell ref="V13:W13"/>
    <mergeCell ref="B22:C22"/>
    <mergeCell ref="D22:E22"/>
    <mergeCell ref="F22:G22"/>
    <mergeCell ref="H22:I22"/>
    <mergeCell ref="J22:K22"/>
    <mergeCell ref="L22:M22"/>
    <mergeCell ref="BH13:BI13"/>
    <mergeCell ref="BJ13:BK13"/>
    <mergeCell ref="BL13:BM13"/>
    <mergeCell ref="AJ13:AK13"/>
    <mergeCell ref="AL13:AM13"/>
    <mergeCell ref="AN13:AO13"/>
    <mergeCell ref="AP13:AQ13"/>
    <mergeCell ref="AR13:AS13"/>
    <mergeCell ref="AT13:AU13"/>
    <mergeCell ref="X13:Y13"/>
    <mergeCell ref="Z13:AA13"/>
    <mergeCell ref="AB13:AC13"/>
    <mergeCell ref="AD13:AE13"/>
    <mergeCell ref="AF13:AG13"/>
    <mergeCell ref="AH13:AI13"/>
    <mergeCell ref="L13:M13"/>
    <mergeCell ref="N13:O13"/>
    <mergeCell ref="P13:Q13"/>
    <mergeCell ref="AF22:AG22"/>
    <mergeCell ref="AH22:AI22"/>
    <mergeCell ref="AJ22:AK22"/>
    <mergeCell ref="N22:O22"/>
    <mergeCell ref="P22:Q22"/>
    <mergeCell ref="R22:S22"/>
    <mergeCell ref="T22:U22"/>
    <mergeCell ref="V22:W22"/>
    <mergeCell ref="X22:Y22"/>
    <mergeCell ref="BJ22:BK22"/>
    <mergeCell ref="BL22:BM22"/>
    <mergeCell ref="BN22:BO22"/>
    <mergeCell ref="BP22:BQ22"/>
    <mergeCell ref="B31:C31"/>
    <mergeCell ref="D31:E31"/>
    <mergeCell ref="F31:G31"/>
    <mergeCell ref="H31:I31"/>
    <mergeCell ref="J31:K31"/>
    <mergeCell ref="AX22:AY22"/>
    <mergeCell ref="AZ22:BA22"/>
    <mergeCell ref="BB22:BC22"/>
    <mergeCell ref="BD22:BE22"/>
    <mergeCell ref="BF22:BG22"/>
    <mergeCell ref="BH22:BI22"/>
    <mergeCell ref="AL22:AM22"/>
    <mergeCell ref="AN22:AO22"/>
    <mergeCell ref="AP22:AQ22"/>
    <mergeCell ref="AR22:AS22"/>
    <mergeCell ref="AT22:AU22"/>
    <mergeCell ref="AV22:AW22"/>
    <mergeCell ref="Z22:AA22"/>
    <mergeCell ref="AB22:AC22"/>
    <mergeCell ref="AD22:AE22"/>
    <mergeCell ref="BN31:BO31"/>
    <mergeCell ref="BP31:BQ31"/>
    <mergeCell ref="AV31:AW31"/>
    <mergeCell ref="AX31:AY31"/>
    <mergeCell ref="AZ31:BA31"/>
    <mergeCell ref="BB31:BC31"/>
    <mergeCell ref="BD31:BE31"/>
    <mergeCell ref="BF31:BG31"/>
    <mergeCell ref="R31:S31"/>
    <mergeCell ref="T31:U31"/>
    <mergeCell ref="V31:W31"/>
    <mergeCell ref="B40:C40"/>
    <mergeCell ref="D40:E40"/>
    <mergeCell ref="F40:G40"/>
    <mergeCell ref="H40:I40"/>
    <mergeCell ref="J40:K40"/>
    <mergeCell ref="L40:M40"/>
    <mergeCell ref="BH31:BI31"/>
    <mergeCell ref="BJ31:BK31"/>
    <mergeCell ref="BL31:BM31"/>
    <mergeCell ref="AJ31:AK31"/>
    <mergeCell ref="AL31:AM31"/>
    <mergeCell ref="AN31:AO31"/>
    <mergeCell ref="AP31:AQ31"/>
    <mergeCell ref="AR31:AS31"/>
    <mergeCell ref="AT31:AU31"/>
    <mergeCell ref="X31:Y31"/>
    <mergeCell ref="Z31:AA31"/>
    <mergeCell ref="AB31:AC31"/>
    <mergeCell ref="AD31:AE31"/>
    <mergeCell ref="AF31:AG31"/>
    <mergeCell ref="AH31:AI31"/>
    <mergeCell ref="L31:M31"/>
    <mergeCell ref="N31:O31"/>
    <mergeCell ref="P31:Q31"/>
    <mergeCell ref="AF40:AG40"/>
    <mergeCell ref="AH40:AI40"/>
    <mergeCell ref="AJ40:AK40"/>
    <mergeCell ref="N40:O40"/>
    <mergeCell ref="P40:Q40"/>
    <mergeCell ref="R40:S40"/>
    <mergeCell ref="T40:U40"/>
    <mergeCell ref="V40:W40"/>
    <mergeCell ref="X40:Y40"/>
    <mergeCell ref="BJ40:BK40"/>
    <mergeCell ref="BL40:BM40"/>
    <mergeCell ref="BN40:BO40"/>
    <mergeCell ref="BP40:BQ40"/>
    <mergeCell ref="B49:C49"/>
    <mergeCell ref="D49:E49"/>
    <mergeCell ref="F49:G49"/>
    <mergeCell ref="H49:I49"/>
    <mergeCell ref="J49:K49"/>
    <mergeCell ref="AX40:AY40"/>
    <mergeCell ref="AZ40:BA40"/>
    <mergeCell ref="BB40:BC40"/>
    <mergeCell ref="BD40:BE40"/>
    <mergeCell ref="BF40:BG40"/>
    <mergeCell ref="BH40:BI40"/>
    <mergeCell ref="AL40:AM40"/>
    <mergeCell ref="AN40:AO40"/>
    <mergeCell ref="AP40:AQ40"/>
    <mergeCell ref="AR40:AS40"/>
    <mergeCell ref="AT40:AU40"/>
    <mergeCell ref="AV40:AW40"/>
    <mergeCell ref="Z40:AA40"/>
    <mergeCell ref="AB40:AC40"/>
    <mergeCell ref="AD40:AE40"/>
    <mergeCell ref="BN49:BO49"/>
    <mergeCell ref="BP49:BQ49"/>
    <mergeCell ref="AV49:AW49"/>
    <mergeCell ref="AX49:AY49"/>
    <mergeCell ref="AZ49:BA49"/>
    <mergeCell ref="BB49:BC49"/>
    <mergeCell ref="BD49:BE49"/>
    <mergeCell ref="BF49:BG49"/>
    <mergeCell ref="R49:S49"/>
    <mergeCell ref="T49:U49"/>
    <mergeCell ref="V49:W49"/>
    <mergeCell ref="B58:C58"/>
    <mergeCell ref="D58:E58"/>
    <mergeCell ref="F58:G58"/>
    <mergeCell ref="H58:I58"/>
    <mergeCell ref="J58:K58"/>
    <mergeCell ref="L58:M58"/>
    <mergeCell ref="BH49:BI49"/>
    <mergeCell ref="BJ49:BK49"/>
    <mergeCell ref="BL49:BM49"/>
    <mergeCell ref="AJ49:AK49"/>
    <mergeCell ref="AL49:AM49"/>
    <mergeCell ref="AN49:AO49"/>
    <mergeCell ref="AP49:AQ49"/>
    <mergeCell ref="AR49:AS49"/>
    <mergeCell ref="AT49:AU49"/>
    <mergeCell ref="X49:Y49"/>
    <mergeCell ref="Z49:AA49"/>
    <mergeCell ref="AB49:AC49"/>
    <mergeCell ref="AD49:AE49"/>
    <mergeCell ref="AF49:AG49"/>
    <mergeCell ref="AH49:AI49"/>
    <mergeCell ref="L49:M49"/>
    <mergeCell ref="N49:O49"/>
    <mergeCell ref="P49:Q49"/>
    <mergeCell ref="AF58:AG58"/>
    <mergeCell ref="AH58:AI58"/>
    <mergeCell ref="AJ58:AK58"/>
    <mergeCell ref="N58:O58"/>
    <mergeCell ref="P58:Q58"/>
    <mergeCell ref="R58:S58"/>
    <mergeCell ref="T58:U58"/>
    <mergeCell ref="V58:W58"/>
    <mergeCell ref="X58:Y58"/>
    <mergeCell ref="BJ58:BK58"/>
    <mergeCell ref="BL58:BM58"/>
    <mergeCell ref="BN58:BO58"/>
    <mergeCell ref="BP58:BQ58"/>
    <mergeCell ref="B67:C67"/>
    <mergeCell ref="D67:E67"/>
    <mergeCell ref="F67:G67"/>
    <mergeCell ref="H67:I67"/>
    <mergeCell ref="J67:K67"/>
    <mergeCell ref="AX58:AY58"/>
    <mergeCell ref="AZ58:BA58"/>
    <mergeCell ref="BB58:BC58"/>
    <mergeCell ref="BD58:BE58"/>
    <mergeCell ref="BF58:BG58"/>
    <mergeCell ref="BH58:BI58"/>
    <mergeCell ref="AL58:AM58"/>
    <mergeCell ref="AN58:AO58"/>
    <mergeCell ref="AP58:AQ58"/>
    <mergeCell ref="AR58:AS58"/>
    <mergeCell ref="AT58:AU58"/>
    <mergeCell ref="AV58:AW58"/>
    <mergeCell ref="Z58:AA58"/>
    <mergeCell ref="AB58:AC58"/>
    <mergeCell ref="AD58:AE58"/>
    <mergeCell ref="BN67:BO67"/>
    <mergeCell ref="BP67:BQ67"/>
    <mergeCell ref="AV67:AW67"/>
    <mergeCell ref="AX67:AY67"/>
    <mergeCell ref="AZ67:BA67"/>
    <mergeCell ref="BB67:BC67"/>
    <mergeCell ref="BD67:BE67"/>
    <mergeCell ref="BF67:BG67"/>
    <mergeCell ref="R67:S67"/>
    <mergeCell ref="T67:U67"/>
    <mergeCell ref="V67:W67"/>
    <mergeCell ref="D76:E76"/>
    <mergeCell ref="F76:G76"/>
    <mergeCell ref="H76:I76"/>
    <mergeCell ref="J76:K76"/>
    <mergeCell ref="L76:M76"/>
    <mergeCell ref="BH67:BI67"/>
    <mergeCell ref="BJ67:BK67"/>
    <mergeCell ref="BL67:BM67"/>
    <mergeCell ref="AJ67:AK67"/>
    <mergeCell ref="AL67:AM67"/>
    <mergeCell ref="AN67:AO67"/>
    <mergeCell ref="AP67:AQ67"/>
    <mergeCell ref="AR67:AS67"/>
    <mergeCell ref="AT67:AU67"/>
    <mergeCell ref="X67:Y67"/>
    <mergeCell ref="Z67:AA67"/>
    <mergeCell ref="AB67:AC67"/>
    <mergeCell ref="AD67:AE67"/>
    <mergeCell ref="AF67:AG67"/>
    <mergeCell ref="AH67:AI67"/>
    <mergeCell ref="L67:M67"/>
    <mergeCell ref="N67:O67"/>
    <mergeCell ref="P67:Q67"/>
    <mergeCell ref="BP76:BQ76"/>
    <mergeCell ref="B85:C85"/>
    <mergeCell ref="D85:E85"/>
    <mergeCell ref="F85:G85"/>
    <mergeCell ref="H85:I85"/>
    <mergeCell ref="J85:K85"/>
    <mergeCell ref="AX76:AY76"/>
    <mergeCell ref="AZ76:BA76"/>
    <mergeCell ref="BB76:BC76"/>
    <mergeCell ref="BD76:BE76"/>
    <mergeCell ref="BF76:BG76"/>
    <mergeCell ref="BH76:BI76"/>
    <mergeCell ref="AL76:AM76"/>
    <mergeCell ref="AN76:AO76"/>
    <mergeCell ref="AP76:AQ76"/>
    <mergeCell ref="AR76:AS76"/>
    <mergeCell ref="AT76:AU76"/>
    <mergeCell ref="AV76:AW76"/>
    <mergeCell ref="Z76:AA76"/>
    <mergeCell ref="AB76:AC76"/>
    <mergeCell ref="AD76:AE76"/>
    <mergeCell ref="AF76:AG76"/>
    <mergeCell ref="AH76:AI76"/>
    <mergeCell ref="B76:C76"/>
    <mergeCell ref="L85:M85"/>
    <mergeCell ref="N85:O85"/>
    <mergeCell ref="P85:Q85"/>
    <mergeCell ref="R85:S85"/>
    <mergeCell ref="T85:U85"/>
    <mergeCell ref="V85:W85"/>
    <mergeCell ref="BJ76:BK76"/>
    <mergeCell ref="BL76:BM76"/>
    <mergeCell ref="BN76:BO76"/>
    <mergeCell ref="AJ76:AK76"/>
    <mergeCell ref="N76:O76"/>
    <mergeCell ref="P76:Q76"/>
    <mergeCell ref="R76:S76"/>
    <mergeCell ref="T76:U76"/>
    <mergeCell ref="V76:W76"/>
    <mergeCell ref="X76:Y76"/>
    <mergeCell ref="AJ85:AK85"/>
    <mergeCell ref="AL85:AM85"/>
    <mergeCell ref="AN85:AO85"/>
    <mergeCell ref="AP85:AQ85"/>
    <mergeCell ref="AR85:AS85"/>
    <mergeCell ref="AT85:AU85"/>
    <mergeCell ref="X85:Y85"/>
    <mergeCell ref="Z85:AA85"/>
    <mergeCell ref="BP85:BQ85"/>
    <mergeCell ref="AV85:AW85"/>
    <mergeCell ref="AX85:AY85"/>
    <mergeCell ref="AZ85:BA85"/>
    <mergeCell ref="BB85:BC85"/>
    <mergeCell ref="BD85:BE85"/>
    <mergeCell ref="BF85:BG85"/>
    <mergeCell ref="AB85:AC85"/>
    <mergeCell ref="AD85:AE85"/>
    <mergeCell ref="AF85:AG85"/>
    <mergeCell ref="AH85:AI85"/>
    <mergeCell ref="BH85:BI85"/>
    <mergeCell ref="BJ85:BK85"/>
    <mergeCell ref="BL85:BM85"/>
    <mergeCell ref="BN85:BO8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140625" style="7" customWidth="1"/>
    <col min="2" max="69" width="16" style="7" customWidth="1"/>
    <col min="70" max="16384" width="9.140625" style="7"/>
  </cols>
  <sheetData>
    <row r="1" spans="1:69" ht="18.75" x14ac:dyDescent="0.3">
      <c r="A1" s="5" t="s">
        <v>227</v>
      </c>
    </row>
    <row r="2" spans="1:69" x14ac:dyDescent="0.25">
      <c r="A2" s="18" t="s">
        <v>34</v>
      </c>
    </row>
    <row r="3" spans="1:69" x14ac:dyDescent="0.25">
      <c r="A3" s="33" t="s">
        <v>216</v>
      </c>
    </row>
    <row r="4" spans="1:69" x14ac:dyDescent="0.25">
      <c r="A4" s="3" t="s">
        <v>0</v>
      </c>
      <c r="B4" s="116" t="s">
        <v>1</v>
      </c>
      <c r="C4" s="117"/>
      <c r="D4" s="116" t="s">
        <v>285</v>
      </c>
      <c r="E4" s="117"/>
      <c r="F4" s="116" t="s">
        <v>2</v>
      </c>
      <c r="G4" s="117"/>
      <c r="H4" s="116" t="s">
        <v>3</v>
      </c>
      <c r="I4" s="117"/>
      <c r="J4" s="116" t="s">
        <v>4</v>
      </c>
      <c r="K4" s="117"/>
      <c r="L4" s="116" t="s">
        <v>286</v>
      </c>
      <c r="M4" s="117"/>
      <c r="N4" s="116" t="s">
        <v>6</v>
      </c>
      <c r="O4" s="117"/>
      <c r="P4" s="116" t="s">
        <v>5</v>
      </c>
      <c r="Q4" s="117"/>
      <c r="R4" s="116" t="s">
        <v>7</v>
      </c>
      <c r="S4" s="117"/>
      <c r="T4" s="116" t="s">
        <v>287</v>
      </c>
      <c r="U4" s="117"/>
      <c r="V4" s="116" t="s">
        <v>8</v>
      </c>
      <c r="W4" s="117"/>
      <c r="X4" s="116" t="s">
        <v>288</v>
      </c>
      <c r="Y4" s="117"/>
      <c r="Z4" s="116" t="s">
        <v>9</v>
      </c>
      <c r="AA4" s="117"/>
      <c r="AB4" s="116" t="s">
        <v>10</v>
      </c>
      <c r="AC4" s="117"/>
      <c r="AD4" s="116" t="s">
        <v>289</v>
      </c>
      <c r="AE4" s="117"/>
      <c r="AF4" s="116" t="s">
        <v>11</v>
      </c>
      <c r="AG4" s="117"/>
      <c r="AH4" s="116" t="s">
        <v>12</v>
      </c>
      <c r="AI4" s="117"/>
      <c r="AJ4" s="116" t="s">
        <v>290</v>
      </c>
      <c r="AK4" s="117"/>
      <c r="AL4" s="116" t="s">
        <v>299</v>
      </c>
      <c r="AM4" s="117"/>
      <c r="AN4" s="116" t="s">
        <v>13</v>
      </c>
      <c r="AO4" s="117"/>
      <c r="AP4" s="116" t="s">
        <v>291</v>
      </c>
      <c r="AQ4" s="117"/>
      <c r="AR4" s="116" t="s">
        <v>292</v>
      </c>
      <c r="AS4" s="117"/>
      <c r="AT4" s="116" t="s">
        <v>307</v>
      </c>
      <c r="AU4" s="117"/>
      <c r="AV4" s="116" t="s">
        <v>293</v>
      </c>
      <c r="AW4" s="117"/>
      <c r="AX4" s="116" t="s">
        <v>14</v>
      </c>
      <c r="AY4" s="117"/>
      <c r="AZ4" s="116" t="s">
        <v>15</v>
      </c>
      <c r="BA4" s="117"/>
      <c r="BB4" s="116" t="s">
        <v>16</v>
      </c>
      <c r="BC4" s="117"/>
      <c r="BD4" s="116" t="s">
        <v>17</v>
      </c>
      <c r="BE4" s="117"/>
      <c r="BF4" s="116" t="s">
        <v>18</v>
      </c>
      <c r="BG4" s="117"/>
      <c r="BH4" s="116" t="s">
        <v>294</v>
      </c>
      <c r="BI4" s="117"/>
      <c r="BJ4" s="116" t="s">
        <v>295</v>
      </c>
      <c r="BK4" s="117"/>
      <c r="BL4" s="116" t="s">
        <v>19</v>
      </c>
      <c r="BM4" s="117"/>
      <c r="BN4" s="116" t="s">
        <v>20</v>
      </c>
      <c r="BO4" s="117"/>
      <c r="BP4" s="118" t="s">
        <v>21</v>
      </c>
      <c r="BQ4" s="119"/>
    </row>
    <row r="5" spans="1:69" ht="30" x14ac:dyDescent="0.25">
      <c r="A5" s="3"/>
      <c r="B5" s="67" t="s">
        <v>296</v>
      </c>
      <c r="C5" s="68" t="s">
        <v>297</v>
      </c>
      <c r="D5" s="67" t="s">
        <v>296</v>
      </c>
      <c r="E5" s="68" t="s">
        <v>297</v>
      </c>
      <c r="F5" s="67" t="s">
        <v>296</v>
      </c>
      <c r="G5" s="68" t="s">
        <v>297</v>
      </c>
      <c r="H5" s="67" t="s">
        <v>296</v>
      </c>
      <c r="I5" s="68" t="s">
        <v>297</v>
      </c>
      <c r="J5" s="67" t="s">
        <v>296</v>
      </c>
      <c r="K5" s="68" t="s">
        <v>297</v>
      </c>
      <c r="L5" s="67" t="s">
        <v>296</v>
      </c>
      <c r="M5" s="68" t="s">
        <v>297</v>
      </c>
      <c r="N5" s="67" t="s">
        <v>296</v>
      </c>
      <c r="O5" s="68" t="s">
        <v>297</v>
      </c>
      <c r="P5" s="67" t="s">
        <v>296</v>
      </c>
      <c r="Q5" s="68" t="s">
        <v>297</v>
      </c>
      <c r="R5" s="67" t="s">
        <v>296</v>
      </c>
      <c r="S5" s="68" t="s">
        <v>297</v>
      </c>
      <c r="T5" s="67" t="s">
        <v>296</v>
      </c>
      <c r="U5" s="68" t="s">
        <v>297</v>
      </c>
      <c r="V5" s="67" t="s">
        <v>296</v>
      </c>
      <c r="W5" s="68" t="s">
        <v>297</v>
      </c>
      <c r="X5" s="67" t="s">
        <v>296</v>
      </c>
      <c r="Y5" s="68" t="s">
        <v>297</v>
      </c>
      <c r="Z5" s="67" t="s">
        <v>296</v>
      </c>
      <c r="AA5" s="68" t="s">
        <v>297</v>
      </c>
      <c r="AB5" s="67" t="s">
        <v>296</v>
      </c>
      <c r="AC5" s="68" t="s">
        <v>297</v>
      </c>
      <c r="AD5" s="67" t="s">
        <v>296</v>
      </c>
      <c r="AE5" s="68" t="s">
        <v>297</v>
      </c>
      <c r="AF5" s="67" t="s">
        <v>296</v>
      </c>
      <c r="AG5" s="68" t="s">
        <v>297</v>
      </c>
      <c r="AH5" s="67" t="s">
        <v>296</v>
      </c>
      <c r="AI5" s="68" t="s">
        <v>297</v>
      </c>
      <c r="AJ5" s="67" t="s">
        <v>296</v>
      </c>
      <c r="AK5" s="68" t="s">
        <v>297</v>
      </c>
      <c r="AL5" s="67" t="s">
        <v>296</v>
      </c>
      <c r="AM5" s="68" t="s">
        <v>297</v>
      </c>
      <c r="AN5" s="67" t="s">
        <v>296</v>
      </c>
      <c r="AO5" s="68" t="s">
        <v>297</v>
      </c>
      <c r="AP5" s="67" t="s">
        <v>296</v>
      </c>
      <c r="AQ5" s="68" t="s">
        <v>297</v>
      </c>
      <c r="AR5" s="67" t="s">
        <v>296</v>
      </c>
      <c r="AS5" s="68" t="s">
        <v>297</v>
      </c>
      <c r="AT5" s="67" t="s">
        <v>296</v>
      </c>
      <c r="AU5" s="68" t="s">
        <v>297</v>
      </c>
      <c r="AV5" s="67" t="s">
        <v>296</v>
      </c>
      <c r="AW5" s="68" t="s">
        <v>297</v>
      </c>
      <c r="AX5" s="67" t="s">
        <v>296</v>
      </c>
      <c r="AY5" s="68" t="s">
        <v>297</v>
      </c>
      <c r="AZ5" s="67" t="s">
        <v>296</v>
      </c>
      <c r="BA5" s="68" t="s">
        <v>297</v>
      </c>
      <c r="BB5" s="67" t="s">
        <v>296</v>
      </c>
      <c r="BC5" s="68" t="s">
        <v>297</v>
      </c>
      <c r="BD5" s="67" t="s">
        <v>296</v>
      </c>
      <c r="BE5" s="68" t="s">
        <v>297</v>
      </c>
      <c r="BF5" s="67" t="s">
        <v>296</v>
      </c>
      <c r="BG5" s="68" t="s">
        <v>297</v>
      </c>
      <c r="BH5" s="67" t="s">
        <v>296</v>
      </c>
      <c r="BI5" s="68" t="s">
        <v>297</v>
      </c>
      <c r="BJ5" s="67" t="s">
        <v>296</v>
      </c>
      <c r="BK5" s="68" t="s">
        <v>297</v>
      </c>
      <c r="BL5" s="67" t="s">
        <v>296</v>
      </c>
      <c r="BM5" s="68" t="s">
        <v>297</v>
      </c>
      <c r="BN5" s="67" t="s">
        <v>296</v>
      </c>
      <c r="BO5" s="68" t="s">
        <v>297</v>
      </c>
      <c r="BP5" s="84" t="s">
        <v>280</v>
      </c>
      <c r="BQ5" s="85" t="s">
        <v>281</v>
      </c>
    </row>
    <row r="6" spans="1:69" x14ac:dyDescent="0.25">
      <c r="A6" s="26" t="s">
        <v>228</v>
      </c>
      <c r="B6" s="10"/>
      <c r="C6" s="10"/>
      <c r="D6" s="10"/>
      <c r="E6" s="10"/>
      <c r="F6" s="10"/>
      <c r="G6" s="10"/>
      <c r="H6" s="10">
        <v>1116695</v>
      </c>
      <c r="I6" s="10">
        <v>1933302</v>
      </c>
      <c r="J6" s="10">
        <v>219649</v>
      </c>
      <c r="K6" s="10">
        <v>314682</v>
      </c>
      <c r="L6" s="10">
        <v>96093</v>
      </c>
      <c r="M6" s="10">
        <v>167872</v>
      </c>
      <c r="N6" s="10"/>
      <c r="O6" s="10"/>
      <c r="P6" s="10">
        <v>64</v>
      </c>
      <c r="Q6" s="10">
        <v>108</v>
      </c>
      <c r="R6" s="10">
        <v>267015</v>
      </c>
      <c r="S6" s="10">
        <v>465146</v>
      </c>
      <c r="T6" s="10">
        <v>15564</v>
      </c>
      <c r="U6" s="10">
        <v>19139.45</v>
      </c>
      <c r="V6" s="10">
        <v>993226</v>
      </c>
      <c r="W6" s="10">
        <v>1888540</v>
      </c>
      <c r="X6" s="10"/>
      <c r="Y6" s="10"/>
      <c r="Z6" s="10">
        <v>1018501</v>
      </c>
      <c r="AA6" s="10">
        <v>2849154</v>
      </c>
      <c r="AB6" s="10">
        <v>344676</v>
      </c>
      <c r="AC6" s="10">
        <v>623675</v>
      </c>
      <c r="AD6" s="10">
        <v>134691</v>
      </c>
      <c r="AE6" s="10">
        <v>142790</v>
      </c>
      <c r="AF6" s="10">
        <v>80946</v>
      </c>
      <c r="AG6" s="10">
        <v>162573</v>
      </c>
      <c r="AH6" s="10">
        <v>85339</v>
      </c>
      <c r="AI6" s="10">
        <v>137805</v>
      </c>
      <c r="AJ6" s="10"/>
      <c r="AK6" s="10"/>
      <c r="AL6" s="10"/>
      <c r="AM6" s="10"/>
      <c r="AN6" s="10">
        <v>1472242.1749999998</v>
      </c>
      <c r="AO6" s="10">
        <v>2402989.5469999998</v>
      </c>
      <c r="AP6" s="10">
        <v>596</v>
      </c>
      <c r="AQ6" s="10">
        <v>711</v>
      </c>
      <c r="AR6" s="10">
        <v>2801</v>
      </c>
      <c r="AS6" s="10">
        <v>3332</v>
      </c>
      <c r="AT6" s="10">
        <v>723371</v>
      </c>
      <c r="AU6" s="10">
        <v>1593279</v>
      </c>
      <c r="AV6" s="10"/>
      <c r="AW6" s="10"/>
      <c r="AX6" s="10">
        <v>275549</v>
      </c>
      <c r="AY6" s="10">
        <v>394338</v>
      </c>
      <c r="AZ6" s="10">
        <v>682502</v>
      </c>
      <c r="BA6" s="10">
        <v>1057441</v>
      </c>
      <c r="BB6" s="10">
        <v>22359</v>
      </c>
      <c r="BC6" s="10">
        <v>33499</v>
      </c>
      <c r="BD6" s="10"/>
      <c r="BE6" s="10"/>
      <c r="BF6" s="10">
        <v>689865</v>
      </c>
      <c r="BG6" s="10">
        <v>1375692</v>
      </c>
      <c r="BH6" s="10">
        <v>3972054</v>
      </c>
      <c r="BI6" s="10">
        <v>7615076</v>
      </c>
      <c r="BJ6" s="10">
        <v>1973375</v>
      </c>
      <c r="BK6" s="10">
        <v>2818011</v>
      </c>
      <c r="BL6" s="108">
        <v>1328459</v>
      </c>
      <c r="BM6" s="108">
        <v>2899508</v>
      </c>
      <c r="BN6" s="10">
        <v>187355</v>
      </c>
      <c r="BO6" s="10">
        <v>367286</v>
      </c>
      <c r="BP6" s="88">
        <f>SUM(B6+D6+F6+H6+J6+L6+N6+P6+R6+T6+V6+X6+Z6+AB6+AD6+AF6+AH6+AJ6+AL6+AN6+AP6+AR6+AT6+AV6+AX6+AZ6+BB6+BD6+BF6+BH6+BJ6+BL6+BN6)</f>
        <v>15702987.175000001</v>
      </c>
      <c r="BQ6" s="88">
        <f>SUM(C6+E6+G6+I6+K6+M6+O6+Q6+S6+U6+W6+Y6+AA6+AC6+AE6+AG6+AI6+AK6+AM6+AO6+AQ6+AS6+AU6+AW6+AY6+BA6+BC6+BE6+BG6+BI6+BK6+BM6+BO6)</f>
        <v>29265948.997000001</v>
      </c>
    </row>
    <row r="7" spans="1:69" x14ac:dyDescent="0.25">
      <c r="A7" s="26" t="s">
        <v>279</v>
      </c>
      <c r="B7" s="10"/>
      <c r="C7" s="10"/>
      <c r="D7" s="10"/>
      <c r="E7" s="10"/>
      <c r="F7" s="10"/>
      <c r="G7" s="10"/>
      <c r="H7" s="10">
        <v>37188</v>
      </c>
      <c r="I7" s="10">
        <v>2243347</v>
      </c>
      <c r="J7" s="10">
        <v>-9886</v>
      </c>
      <c r="K7" s="10">
        <v>455458</v>
      </c>
      <c r="L7" s="10">
        <v>450411</v>
      </c>
      <c r="M7" s="10">
        <v>450411</v>
      </c>
      <c r="N7" s="10"/>
      <c r="O7" s="10"/>
      <c r="P7" s="10">
        <v>51870</v>
      </c>
      <c r="Q7" s="10">
        <v>51870</v>
      </c>
      <c r="R7" s="10">
        <v>964220</v>
      </c>
      <c r="S7" s="10">
        <v>964220</v>
      </c>
      <c r="T7" s="10">
        <v>312716</v>
      </c>
      <c r="U7" s="10">
        <v>312716</v>
      </c>
      <c r="V7" s="10">
        <v>11843778</v>
      </c>
      <c r="W7" s="10">
        <v>11843778</v>
      </c>
      <c r="X7" s="10"/>
      <c r="Y7" s="10"/>
      <c r="Z7" s="10">
        <v>22258775</v>
      </c>
      <c r="AA7" s="10">
        <v>22258775</v>
      </c>
      <c r="AB7" s="10">
        <v>96611</v>
      </c>
      <c r="AC7" s="10">
        <v>895797</v>
      </c>
      <c r="AD7" s="10">
        <v>75218</v>
      </c>
      <c r="AE7" s="10">
        <v>75218</v>
      </c>
      <c r="AF7" s="10">
        <v>502607</v>
      </c>
      <c r="AG7" s="10">
        <v>502607</v>
      </c>
      <c r="AH7" s="10">
        <v>2277444</v>
      </c>
      <c r="AI7" s="10">
        <v>2277444</v>
      </c>
      <c r="AJ7" s="10"/>
      <c r="AK7" s="10"/>
      <c r="AL7" s="10"/>
      <c r="AM7" s="10"/>
      <c r="AN7" s="10">
        <v>-245884.56200000155</v>
      </c>
      <c r="AO7" s="10">
        <v>13216250.066</v>
      </c>
      <c r="AP7" s="10">
        <v>43905</v>
      </c>
      <c r="AQ7" s="10">
        <v>43905</v>
      </c>
      <c r="AR7" s="10">
        <v>4721</v>
      </c>
      <c r="AS7" s="10">
        <v>13176</v>
      </c>
      <c r="AT7" s="10">
        <v>1481226</v>
      </c>
      <c r="AU7" s="10">
        <v>1481226</v>
      </c>
      <c r="AV7" s="10"/>
      <c r="AW7" s="10"/>
      <c r="AX7" s="10">
        <v>-146296</v>
      </c>
      <c r="AY7" s="10">
        <v>2555869</v>
      </c>
      <c r="AZ7" s="10">
        <v>1784266</v>
      </c>
      <c r="BA7" s="10">
        <v>1784266</v>
      </c>
      <c r="BB7" s="10">
        <v>259698</v>
      </c>
      <c r="BC7" s="10">
        <v>259698</v>
      </c>
      <c r="BD7" s="10"/>
      <c r="BE7" s="10"/>
      <c r="BF7" s="10">
        <v>1293607</v>
      </c>
      <c r="BG7" s="10">
        <v>1293607</v>
      </c>
      <c r="BH7" s="10">
        <v>64382633</v>
      </c>
      <c r="BI7" s="10">
        <v>64382633</v>
      </c>
      <c r="BJ7" s="10">
        <v>-627203</v>
      </c>
      <c r="BK7" s="10">
        <v>25713617</v>
      </c>
      <c r="BL7" s="108">
        <v>33750560</v>
      </c>
      <c r="BM7" s="108">
        <v>33750560</v>
      </c>
      <c r="BN7" s="10">
        <v>63010</v>
      </c>
      <c r="BO7" s="10">
        <v>582590</v>
      </c>
      <c r="BP7" s="88">
        <f t="shared" ref="BP7:BP11" si="0">SUM(B7+D7+F7+H7+J7+L7+N7+P7+R7+T7+V7+X7+Z7+AB7+AD7+AF7+AH7+AJ7+AL7+AN7+AP7+AR7+AT7+AV7+AX7+AZ7+BB7+BD7+BF7+BH7+BJ7+BL7+BN7)</f>
        <v>140905194.43799999</v>
      </c>
      <c r="BQ7" s="88">
        <f t="shared" ref="BQ7:BQ11" si="1">SUM(C7+E7+G7+I7+K7+M7+O7+Q7+S7+U7+W7+Y7+AA7+AC7+AE7+AG7+AI7+AK7+AM7+AO7+AQ7+AS7+AU7+AW7+AY7+BA7+BC7+BE7+BG7+BI7+BK7+BM7+BO7)</f>
        <v>187409038.06599998</v>
      </c>
    </row>
    <row r="8" spans="1:69" x14ac:dyDescent="0.25">
      <c r="A8" s="26" t="s">
        <v>278</v>
      </c>
      <c r="B8" s="10"/>
      <c r="C8" s="10"/>
      <c r="D8" s="10"/>
      <c r="E8" s="10"/>
      <c r="F8" s="10"/>
      <c r="G8" s="10"/>
      <c r="H8" s="10"/>
      <c r="I8" s="10">
        <v>1777548</v>
      </c>
      <c r="J8" s="10"/>
      <c r="K8" s="10">
        <v>338428</v>
      </c>
      <c r="L8" s="10">
        <v>442067</v>
      </c>
      <c r="M8" s="10">
        <v>286291</v>
      </c>
      <c r="N8" s="10"/>
      <c r="O8" s="10"/>
      <c r="P8" s="10">
        <v>22887</v>
      </c>
      <c r="Q8" s="10">
        <v>46660</v>
      </c>
      <c r="R8" s="10">
        <v>963010</v>
      </c>
      <c r="S8" s="10">
        <v>700302</v>
      </c>
      <c r="T8" s="10">
        <v>236613</v>
      </c>
      <c r="U8" s="10">
        <v>174730</v>
      </c>
      <c r="V8" s="10">
        <v>-10279847</v>
      </c>
      <c r="W8" s="10">
        <v>-10169564</v>
      </c>
      <c r="X8" s="10"/>
      <c r="Y8" s="10"/>
      <c r="Z8" s="10">
        <v>20410881</v>
      </c>
      <c r="AA8" s="10">
        <v>19458907</v>
      </c>
      <c r="AB8" s="10"/>
      <c r="AC8" s="10">
        <v>668345</v>
      </c>
      <c r="AD8" s="10">
        <v>74256</v>
      </c>
      <c r="AE8" s="10">
        <v>66041</v>
      </c>
      <c r="AF8" s="10">
        <v>570286</v>
      </c>
      <c r="AG8" s="10">
        <v>597496</v>
      </c>
      <c r="AH8" s="10">
        <v>-2033568</v>
      </c>
      <c r="AI8" s="10">
        <v>-1725286</v>
      </c>
      <c r="AJ8" s="10"/>
      <c r="AK8" s="10"/>
      <c r="AL8" s="10"/>
      <c r="AM8" s="10"/>
      <c r="AN8" s="10"/>
      <c r="AO8" s="10">
        <v>12381474.805</v>
      </c>
      <c r="AP8" s="10">
        <v>-39331</v>
      </c>
      <c r="AQ8" s="10">
        <v>-34692</v>
      </c>
      <c r="AR8" s="10"/>
      <c r="AS8" s="10">
        <v>5216</v>
      </c>
      <c r="AT8" s="10">
        <v>1533579</v>
      </c>
      <c r="AU8" s="10">
        <v>1051937</v>
      </c>
      <c r="AV8" s="10"/>
      <c r="AW8" s="10"/>
      <c r="AX8" s="10"/>
      <c r="AY8" s="10">
        <v>-2181107</v>
      </c>
      <c r="AZ8" s="10">
        <v>1641141</v>
      </c>
      <c r="BA8" s="10">
        <v>1318931</v>
      </c>
      <c r="BB8" s="10">
        <v>259195</v>
      </c>
      <c r="BC8" s="10">
        <v>150124</v>
      </c>
      <c r="BD8" s="10"/>
      <c r="BE8" s="10"/>
      <c r="BF8" s="10">
        <v>1308065</v>
      </c>
      <c r="BG8" s="10">
        <v>1026333</v>
      </c>
      <c r="BH8" s="10">
        <v>62222006</v>
      </c>
      <c r="BI8" s="10">
        <v>55799175</v>
      </c>
      <c r="BJ8" s="10">
        <v>-1</v>
      </c>
      <c r="BK8" s="10">
        <v>23824004</v>
      </c>
      <c r="BL8" s="108">
        <v>35694650</v>
      </c>
      <c r="BM8" s="108">
        <v>28904513</v>
      </c>
      <c r="BN8" s="10"/>
      <c r="BO8" s="10">
        <v>366796</v>
      </c>
      <c r="BP8" s="88">
        <f t="shared" si="0"/>
        <v>113025889</v>
      </c>
      <c r="BQ8" s="88">
        <f t="shared" si="1"/>
        <v>134832602.80500001</v>
      </c>
    </row>
    <row r="9" spans="1:69" x14ac:dyDescent="0.25">
      <c r="A9" s="26" t="s">
        <v>284</v>
      </c>
      <c r="B9" s="10"/>
      <c r="C9" s="10"/>
      <c r="D9" s="10"/>
      <c r="E9" s="10"/>
      <c r="F9" s="10"/>
      <c r="G9" s="10"/>
      <c r="H9" s="10">
        <v>1153883</v>
      </c>
      <c r="I9" s="10">
        <v>2399101</v>
      </c>
      <c r="J9" s="10"/>
      <c r="K9" s="10"/>
      <c r="L9" s="10">
        <v>104437</v>
      </c>
      <c r="M9" s="10">
        <v>331992</v>
      </c>
      <c r="N9" s="10"/>
      <c r="O9" s="10"/>
      <c r="P9" s="10">
        <v>29047</v>
      </c>
      <c r="Q9" s="10">
        <v>5318</v>
      </c>
      <c r="R9" s="10"/>
      <c r="S9" s="10"/>
      <c r="T9" s="10"/>
      <c r="U9" s="10"/>
      <c r="V9" s="10">
        <v>2557157</v>
      </c>
      <c r="W9" s="10">
        <v>3562754</v>
      </c>
      <c r="X9" s="10"/>
      <c r="Y9" s="10"/>
      <c r="Z9" s="10">
        <v>2866395</v>
      </c>
      <c r="AA9" s="10">
        <v>5649022</v>
      </c>
      <c r="AB9" s="10">
        <v>441287</v>
      </c>
      <c r="AC9" s="10">
        <v>851127</v>
      </c>
      <c r="AD9" s="10">
        <v>135653</v>
      </c>
      <c r="AE9" s="10">
        <v>151967</v>
      </c>
      <c r="AF9" s="10">
        <v>13268</v>
      </c>
      <c r="AG9" s="10">
        <v>67684</v>
      </c>
      <c r="AH9" s="10">
        <v>329215</v>
      </c>
      <c r="AI9" s="10">
        <v>689963</v>
      </c>
      <c r="AJ9" s="10"/>
      <c r="AK9" s="10"/>
      <c r="AL9" s="10"/>
      <c r="AM9" s="10"/>
      <c r="AN9" s="10"/>
      <c r="AO9" s="10"/>
      <c r="AP9" s="10">
        <v>5171</v>
      </c>
      <c r="AQ9" s="10">
        <v>9925</v>
      </c>
      <c r="AR9" s="10">
        <v>7522</v>
      </c>
      <c r="AS9" s="10">
        <v>11292</v>
      </c>
      <c r="AT9" s="10"/>
      <c r="AU9" s="10"/>
      <c r="AV9" s="10"/>
      <c r="AW9" s="10"/>
      <c r="AX9" s="10">
        <v>129253</v>
      </c>
      <c r="AY9" s="10">
        <v>769101</v>
      </c>
      <c r="AZ9" s="10"/>
      <c r="BA9" s="10"/>
      <c r="BB9" s="10"/>
      <c r="BC9" s="10"/>
      <c r="BD9" s="10"/>
      <c r="BE9" s="10"/>
      <c r="BF9" s="10">
        <v>675407</v>
      </c>
      <c r="BG9" s="10">
        <v>1642966</v>
      </c>
      <c r="BH9" s="10">
        <v>6132682</v>
      </c>
      <c r="BI9" s="10">
        <v>16198534</v>
      </c>
      <c r="BJ9" s="10">
        <v>1346173</v>
      </c>
      <c r="BK9" s="10">
        <v>4707624</v>
      </c>
      <c r="BL9" s="108">
        <v>-615631</v>
      </c>
      <c r="BM9" s="108">
        <v>7745555</v>
      </c>
      <c r="BN9" s="10">
        <v>250365</v>
      </c>
      <c r="BO9" s="10">
        <v>583080</v>
      </c>
      <c r="BP9" s="88">
        <f t="shared" si="0"/>
        <v>15561284</v>
      </c>
      <c r="BQ9" s="88">
        <f t="shared" si="1"/>
        <v>45377005</v>
      </c>
    </row>
    <row r="10" spans="1:69" x14ac:dyDescent="0.25">
      <c r="A10" s="26" t="s">
        <v>276</v>
      </c>
      <c r="B10" s="10"/>
      <c r="C10" s="10"/>
      <c r="D10" s="10"/>
      <c r="E10" s="10"/>
      <c r="F10" s="10"/>
      <c r="G10" s="10"/>
      <c r="H10" s="10">
        <v>26184</v>
      </c>
      <c r="I10" s="10">
        <v>41217</v>
      </c>
      <c r="J10" s="10">
        <v>48274</v>
      </c>
      <c r="K10" s="10">
        <v>53929</v>
      </c>
      <c r="L10" s="10">
        <v>-375</v>
      </c>
      <c r="M10" s="10">
        <v>9</v>
      </c>
      <c r="N10" s="10"/>
      <c r="O10" s="10"/>
      <c r="P10" s="10">
        <v>-20</v>
      </c>
      <c r="Q10" s="10">
        <v>74</v>
      </c>
      <c r="R10" s="10">
        <v>56840</v>
      </c>
      <c r="S10" s="10">
        <v>140369</v>
      </c>
      <c r="T10" s="10">
        <v>64646</v>
      </c>
      <c r="U10" s="10">
        <v>88837.52</v>
      </c>
      <c r="V10" s="10">
        <v>40713</v>
      </c>
      <c r="W10" s="10">
        <v>41877</v>
      </c>
      <c r="X10" s="10"/>
      <c r="Y10" s="10"/>
      <c r="Z10" s="10"/>
      <c r="AA10" s="10"/>
      <c r="AB10" s="10">
        <v>49007</v>
      </c>
      <c r="AC10" s="10">
        <v>106410</v>
      </c>
      <c r="AD10" s="10">
        <v>-20</v>
      </c>
      <c r="AE10" s="10">
        <v>2</v>
      </c>
      <c r="AF10" s="10"/>
      <c r="AG10" s="10">
        <v>5</v>
      </c>
      <c r="AH10" s="10"/>
      <c r="AI10" s="10"/>
      <c r="AJ10" s="10"/>
      <c r="AK10" s="10"/>
      <c r="AL10" s="10"/>
      <c r="AM10" s="10"/>
      <c r="AN10" s="10">
        <v>83828.811000000045</v>
      </c>
      <c r="AO10" s="10">
        <v>470731.19900000002</v>
      </c>
      <c r="AP10" s="10"/>
      <c r="AQ10" s="10"/>
      <c r="AR10" s="10">
        <v>0</v>
      </c>
      <c r="AS10" s="10">
        <v>0</v>
      </c>
      <c r="AT10" s="10">
        <v>75493</v>
      </c>
      <c r="AU10" s="10">
        <v>119938</v>
      </c>
      <c r="AV10" s="10"/>
      <c r="AW10" s="10"/>
      <c r="AX10" s="10">
        <v>19869</v>
      </c>
      <c r="AY10" s="10">
        <v>22935</v>
      </c>
      <c r="AZ10" s="10">
        <v>13744</v>
      </c>
      <c r="BA10" s="10">
        <v>13779</v>
      </c>
      <c r="BB10" s="10"/>
      <c r="BC10" s="10">
        <v>44</v>
      </c>
      <c r="BD10" s="10"/>
      <c r="BE10" s="10"/>
      <c r="BF10" s="10">
        <v>71046</v>
      </c>
      <c r="BG10" s="10">
        <v>171240</v>
      </c>
      <c r="BH10" s="10"/>
      <c r="BI10" s="10"/>
      <c r="BJ10" s="10">
        <v>314243</v>
      </c>
      <c r="BK10" s="10">
        <v>170963</v>
      </c>
      <c r="BL10" s="108">
        <v>8355</v>
      </c>
      <c r="BM10" s="108">
        <v>37508</v>
      </c>
      <c r="BN10" s="10"/>
      <c r="BO10" s="10">
        <v>2</v>
      </c>
      <c r="BP10" s="88">
        <f t="shared" si="0"/>
        <v>871827.81099999999</v>
      </c>
      <c r="BQ10" s="88">
        <f t="shared" si="1"/>
        <v>1479869.719</v>
      </c>
    </row>
    <row r="11" spans="1:69" x14ac:dyDescent="0.25">
      <c r="A11" s="26" t="s">
        <v>277</v>
      </c>
      <c r="B11" s="10"/>
      <c r="C11" s="10"/>
      <c r="D11" s="10"/>
      <c r="E11" s="10"/>
      <c r="F11" s="10"/>
      <c r="G11" s="10"/>
      <c r="H11" s="10">
        <v>844622</v>
      </c>
      <c r="I11" s="10">
        <v>1408281</v>
      </c>
      <c r="J11" s="10">
        <v>157228</v>
      </c>
      <c r="K11" s="10">
        <v>224292</v>
      </c>
      <c r="L11" s="10">
        <v>43001</v>
      </c>
      <c r="M11" s="10">
        <v>81882</v>
      </c>
      <c r="N11" s="10"/>
      <c r="O11" s="10"/>
      <c r="P11" s="10">
        <v>23279</v>
      </c>
      <c r="Q11" s="10">
        <v>-5232</v>
      </c>
      <c r="R11" s="10">
        <v>214635</v>
      </c>
      <c r="S11" s="10">
        <v>423520</v>
      </c>
      <c r="T11" s="10">
        <v>71903</v>
      </c>
      <c r="U11" s="10">
        <v>94842.32</v>
      </c>
      <c r="V11" s="10"/>
      <c r="W11" s="10"/>
      <c r="X11" s="10"/>
      <c r="Y11" s="10"/>
      <c r="Z11" s="10"/>
      <c r="AA11" s="10"/>
      <c r="AB11" s="10">
        <v>318247</v>
      </c>
      <c r="AC11" s="10">
        <v>578318</v>
      </c>
      <c r="AD11" s="10">
        <v>126338</v>
      </c>
      <c r="AE11" s="10">
        <v>131065</v>
      </c>
      <c r="AF11" s="10">
        <v>60817</v>
      </c>
      <c r="AG11" s="10">
        <v>125585</v>
      </c>
      <c r="AH11" s="10"/>
      <c r="AI11" s="10"/>
      <c r="AJ11" s="10"/>
      <c r="AK11" s="10"/>
      <c r="AL11" s="10"/>
      <c r="AM11" s="10"/>
      <c r="AN11" s="10">
        <v>403295.37600000005</v>
      </c>
      <c r="AO11" s="10">
        <v>694546.23400000005</v>
      </c>
      <c r="AP11" s="10"/>
      <c r="AQ11" s="10"/>
      <c r="AR11" s="10">
        <v>2125</v>
      </c>
      <c r="AS11" s="10">
        <v>2362</v>
      </c>
      <c r="AT11" s="10"/>
      <c r="AU11" s="10"/>
      <c r="AV11" s="10"/>
      <c r="AW11" s="10"/>
      <c r="AX11" s="10">
        <v>-253294</v>
      </c>
      <c r="AY11" s="10">
        <v>-342157</v>
      </c>
      <c r="AZ11" s="10">
        <v>439681</v>
      </c>
      <c r="BA11" s="10">
        <v>673135</v>
      </c>
      <c r="BB11" s="10">
        <v>17045</v>
      </c>
      <c r="BC11" s="10">
        <v>22952</v>
      </c>
      <c r="BD11" s="10"/>
      <c r="BE11" s="10"/>
      <c r="BF11" s="10">
        <v>570276</v>
      </c>
      <c r="BG11" s="10">
        <v>1217425</v>
      </c>
      <c r="BH11" s="10"/>
      <c r="BI11" s="10"/>
      <c r="BJ11" s="10">
        <v>546372</v>
      </c>
      <c r="BK11" s="10">
        <v>1725946</v>
      </c>
      <c r="BL11" s="108">
        <v>-1366504</v>
      </c>
      <c r="BM11" s="108">
        <v>4271535</v>
      </c>
      <c r="BN11" s="10">
        <v>159702</v>
      </c>
      <c r="BO11" s="10">
        <v>256455</v>
      </c>
      <c r="BP11" s="88">
        <f t="shared" si="0"/>
        <v>2378768.3760000002</v>
      </c>
      <c r="BQ11" s="88">
        <f t="shared" si="1"/>
        <v>11584752.554</v>
      </c>
    </row>
    <row r="12" spans="1:69" x14ac:dyDescent="0.25">
      <c r="A12" s="26" t="s">
        <v>273</v>
      </c>
      <c r="B12" s="10"/>
      <c r="C12" s="10"/>
      <c r="D12" s="10"/>
      <c r="E12" s="10"/>
      <c r="F12" s="10"/>
      <c r="G12" s="10"/>
      <c r="H12" s="10">
        <v>335445</v>
      </c>
      <c r="I12" s="10">
        <v>1032037</v>
      </c>
      <c r="J12" s="10">
        <v>100808</v>
      </c>
      <c r="K12" s="10">
        <v>261349</v>
      </c>
      <c r="L12" s="10">
        <v>61061</v>
      </c>
      <c r="M12" s="10">
        <v>250119</v>
      </c>
      <c r="N12" s="10"/>
      <c r="O12" s="10"/>
      <c r="P12" s="10">
        <v>5748</v>
      </c>
      <c r="Q12" s="10">
        <v>10624</v>
      </c>
      <c r="R12" s="10">
        <v>110430</v>
      </c>
      <c r="S12" s="10">
        <v>445913</v>
      </c>
      <c r="T12" s="10">
        <v>84409</v>
      </c>
      <c r="U12" s="10">
        <v>151120</v>
      </c>
      <c r="V12" s="10">
        <v>436115</v>
      </c>
      <c r="W12" s="10">
        <v>890347</v>
      </c>
      <c r="X12" s="10"/>
      <c r="Y12" s="10"/>
      <c r="Z12" s="10">
        <v>966416</v>
      </c>
      <c r="AA12" s="10">
        <v>1869275</v>
      </c>
      <c r="AB12" s="10">
        <v>172047</v>
      </c>
      <c r="AC12" s="10">
        <v>379219</v>
      </c>
      <c r="AD12" s="10">
        <v>9295</v>
      </c>
      <c r="AE12" s="10">
        <v>20904</v>
      </c>
      <c r="AF12" s="10">
        <v>12618</v>
      </c>
      <c r="AG12" s="10">
        <v>55159</v>
      </c>
      <c r="AH12" s="10">
        <v>78597</v>
      </c>
      <c r="AI12" s="10">
        <v>137179</v>
      </c>
      <c r="AJ12" s="10"/>
      <c r="AK12" s="10"/>
      <c r="AL12" s="10"/>
      <c r="AM12" s="10"/>
      <c r="AN12" s="10">
        <v>906891.04799999832</v>
      </c>
      <c r="AO12" s="10">
        <v>3013949.773</v>
      </c>
      <c r="AP12" s="10">
        <v>3453</v>
      </c>
      <c r="AQ12" s="10">
        <v>6139</v>
      </c>
      <c r="AR12" s="10">
        <v>5397</v>
      </c>
      <c r="AS12" s="10">
        <v>8930</v>
      </c>
      <c r="AT12" s="10">
        <v>168114</v>
      </c>
      <c r="AU12" s="10">
        <v>746046</v>
      </c>
      <c r="AV12" s="10"/>
      <c r="AW12" s="10"/>
      <c r="AX12" s="10">
        <v>51455</v>
      </c>
      <c r="AY12" s="10">
        <v>184353</v>
      </c>
      <c r="AZ12" s="10">
        <v>399690</v>
      </c>
      <c r="BA12" s="10">
        <v>863420</v>
      </c>
      <c r="BB12" s="10">
        <v>5817</v>
      </c>
      <c r="BC12" s="10">
        <v>120165</v>
      </c>
      <c r="BD12" s="10"/>
      <c r="BE12" s="10"/>
      <c r="BF12" s="10">
        <v>176177</v>
      </c>
      <c r="BG12" s="10">
        <v>596781</v>
      </c>
      <c r="BH12" s="10">
        <v>6012780</v>
      </c>
      <c r="BI12" s="10">
        <v>14050810</v>
      </c>
      <c r="BJ12" s="10">
        <v>1114044</v>
      </c>
      <c r="BK12" s="10">
        <v>3152641</v>
      </c>
      <c r="BL12" s="108">
        <v>759228</v>
      </c>
      <c r="BM12" s="108">
        <v>3511528</v>
      </c>
      <c r="BN12" s="10">
        <v>90663</v>
      </c>
      <c r="BO12" s="10">
        <v>326627</v>
      </c>
      <c r="BP12" s="88" t="e">
        <f>SUM(B12+D12+F12+H12+J12+L12+N12+P12+R12+T12+V12+X12+Z12+AB12+AD12+AF12+AH12+AJ12+AL12+AN12+AP12+AR12+AT12+AV12+#REF!+AZ12+BB12+BD12+BF12+BH12+BJ12+BL12+BN12)</f>
        <v>#REF!</v>
      </c>
      <c r="BQ12" s="88" t="e">
        <f>SUM(C12+E12+G12+I12+K12+M12+O12+Q12+S12+U12+W12+Y12+AA12+AC12+AE12+AG12+AI12+AK12+AM12+AO12+AQ12+AS12+AU12+AW12+#REF!+BA12+BC12+BE12+BG12+BI12+BK12+BM12+BO12)</f>
        <v>#REF!</v>
      </c>
    </row>
    <row r="13" spans="1:69" x14ac:dyDescent="0.25">
      <c r="A13" s="18"/>
    </row>
    <row r="14" spans="1:69" x14ac:dyDescent="0.25">
      <c r="A14" s="33" t="s">
        <v>217</v>
      </c>
    </row>
    <row r="15" spans="1:69" x14ac:dyDescent="0.25">
      <c r="A15" s="3" t="s">
        <v>0</v>
      </c>
      <c r="B15" s="116" t="s">
        <v>1</v>
      </c>
      <c r="C15" s="117"/>
      <c r="D15" s="116" t="s">
        <v>285</v>
      </c>
      <c r="E15" s="117"/>
      <c r="F15" s="116" t="s">
        <v>2</v>
      </c>
      <c r="G15" s="117"/>
      <c r="H15" s="116" t="s">
        <v>3</v>
      </c>
      <c r="I15" s="117"/>
      <c r="J15" s="116" t="s">
        <v>4</v>
      </c>
      <c r="K15" s="117"/>
      <c r="L15" s="116" t="s">
        <v>286</v>
      </c>
      <c r="M15" s="117"/>
      <c r="N15" s="116" t="s">
        <v>6</v>
      </c>
      <c r="O15" s="117"/>
      <c r="P15" s="116" t="s">
        <v>5</v>
      </c>
      <c r="Q15" s="117"/>
      <c r="R15" s="116" t="s">
        <v>7</v>
      </c>
      <c r="S15" s="117"/>
      <c r="T15" s="116" t="s">
        <v>287</v>
      </c>
      <c r="U15" s="117"/>
      <c r="V15" s="116" t="s">
        <v>8</v>
      </c>
      <c r="W15" s="117"/>
      <c r="X15" s="116" t="s">
        <v>288</v>
      </c>
      <c r="Y15" s="117"/>
      <c r="Z15" s="116" t="s">
        <v>9</v>
      </c>
      <c r="AA15" s="117"/>
      <c r="AB15" s="116" t="s">
        <v>10</v>
      </c>
      <c r="AC15" s="117"/>
      <c r="AD15" s="116" t="s">
        <v>289</v>
      </c>
      <c r="AE15" s="117"/>
      <c r="AF15" s="116" t="s">
        <v>11</v>
      </c>
      <c r="AG15" s="117"/>
      <c r="AH15" s="116" t="s">
        <v>12</v>
      </c>
      <c r="AI15" s="117"/>
      <c r="AJ15" s="116" t="s">
        <v>290</v>
      </c>
      <c r="AK15" s="117"/>
      <c r="AL15" s="116" t="s">
        <v>299</v>
      </c>
      <c r="AM15" s="117"/>
      <c r="AN15" s="116" t="s">
        <v>13</v>
      </c>
      <c r="AO15" s="117"/>
      <c r="AP15" s="116" t="s">
        <v>291</v>
      </c>
      <c r="AQ15" s="117"/>
      <c r="AR15" s="116" t="s">
        <v>292</v>
      </c>
      <c r="AS15" s="117"/>
      <c r="AT15" s="116" t="s">
        <v>307</v>
      </c>
      <c r="AU15" s="117"/>
      <c r="AV15" s="116" t="s">
        <v>293</v>
      </c>
      <c r="AW15" s="117"/>
      <c r="AX15" s="116" t="s">
        <v>14</v>
      </c>
      <c r="AY15" s="117"/>
      <c r="AZ15" s="116" t="s">
        <v>15</v>
      </c>
      <c r="BA15" s="117"/>
      <c r="BB15" s="116" t="s">
        <v>16</v>
      </c>
      <c r="BC15" s="117"/>
      <c r="BD15" s="116" t="s">
        <v>17</v>
      </c>
      <c r="BE15" s="117"/>
      <c r="BF15" s="116" t="s">
        <v>18</v>
      </c>
      <c r="BG15" s="117"/>
      <c r="BH15" s="116" t="s">
        <v>294</v>
      </c>
      <c r="BI15" s="117"/>
      <c r="BJ15" s="116" t="s">
        <v>295</v>
      </c>
      <c r="BK15" s="117"/>
      <c r="BL15" s="116" t="s">
        <v>19</v>
      </c>
      <c r="BM15" s="117"/>
      <c r="BN15" s="116" t="s">
        <v>20</v>
      </c>
      <c r="BO15" s="117"/>
      <c r="BP15" s="118" t="s">
        <v>21</v>
      </c>
      <c r="BQ15" s="119"/>
    </row>
    <row r="16" spans="1:69" ht="30" x14ac:dyDescent="0.25">
      <c r="A16" s="3"/>
      <c r="B16" s="67" t="s">
        <v>296</v>
      </c>
      <c r="C16" s="68" t="s">
        <v>297</v>
      </c>
      <c r="D16" s="67" t="s">
        <v>296</v>
      </c>
      <c r="E16" s="68" t="s">
        <v>297</v>
      </c>
      <c r="F16" s="67" t="s">
        <v>296</v>
      </c>
      <c r="G16" s="68" t="s">
        <v>297</v>
      </c>
      <c r="H16" s="67" t="s">
        <v>296</v>
      </c>
      <c r="I16" s="68" t="s">
        <v>297</v>
      </c>
      <c r="J16" s="67" t="s">
        <v>296</v>
      </c>
      <c r="K16" s="68" t="s">
        <v>297</v>
      </c>
      <c r="L16" s="67" t="s">
        <v>296</v>
      </c>
      <c r="M16" s="68" t="s">
        <v>297</v>
      </c>
      <c r="N16" s="67" t="s">
        <v>296</v>
      </c>
      <c r="O16" s="68" t="s">
        <v>297</v>
      </c>
      <c r="P16" s="67" t="s">
        <v>296</v>
      </c>
      <c r="Q16" s="68" t="s">
        <v>297</v>
      </c>
      <c r="R16" s="67" t="s">
        <v>296</v>
      </c>
      <c r="S16" s="68" t="s">
        <v>297</v>
      </c>
      <c r="T16" s="67" t="s">
        <v>296</v>
      </c>
      <c r="U16" s="68" t="s">
        <v>297</v>
      </c>
      <c r="V16" s="67" t="s">
        <v>296</v>
      </c>
      <c r="W16" s="68" t="s">
        <v>297</v>
      </c>
      <c r="X16" s="67" t="s">
        <v>296</v>
      </c>
      <c r="Y16" s="68" t="s">
        <v>297</v>
      </c>
      <c r="Z16" s="67" t="s">
        <v>296</v>
      </c>
      <c r="AA16" s="68" t="s">
        <v>297</v>
      </c>
      <c r="AB16" s="67" t="s">
        <v>296</v>
      </c>
      <c r="AC16" s="68" t="s">
        <v>297</v>
      </c>
      <c r="AD16" s="67" t="s">
        <v>296</v>
      </c>
      <c r="AE16" s="68" t="s">
        <v>297</v>
      </c>
      <c r="AF16" s="67" t="s">
        <v>296</v>
      </c>
      <c r="AG16" s="68" t="s">
        <v>297</v>
      </c>
      <c r="AH16" s="67" t="s">
        <v>296</v>
      </c>
      <c r="AI16" s="68" t="s">
        <v>297</v>
      </c>
      <c r="AJ16" s="67" t="s">
        <v>296</v>
      </c>
      <c r="AK16" s="68" t="s">
        <v>297</v>
      </c>
      <c r="AL16" s="67" t="s">
        <v>296</v>
      </c>
      <c r="AM16" s="68" t="s">
        <v>297</v>
      </c>
      <c r="AN16" s="67" t="s">
        <v>296</v>
      </c>
      <c r="AO16" s="68" t="s">
        <v>297</v>
      </c>
      <c r="AP16" s="67" t="s">
        <v>296</v>
      </c>
      <c r="AQ16" s="68" t="s">
        <v>297</v>
      </c>
      <c r="AR16" s="67" t="s">
        <v>296</v>
      </c>
      <c r="AS16" s="68" t="s">
        <v>297</v>
      </c>
      <c r="AT16" s="67" t="s">
        <v>296</v>
      </c>
      <c r="AU16" s="68" t="s">
        <v>297</v>
      </c>
      <c r="AV16" s="67" t="s">
        <v>296</v>
      </c>
      <c r="AW16" s="68" t="s">
        <v>297</v>
      </c>
      <c r="AX16" s="67" t="s">
        <v>296</v>
      </c>
      <c r="AY16" s="68" t="s">
        <v>297</v>
      </c>
      <c r="AZ16" s="67" t="s">
        <v>296</v>
      </c>
      <c r="BA16" s="68" t="s">
        <v>297</v>
      </c>
      <c r="BB16" s="67" t="s">
        <v>296</v>
      </c>
      <c r="BC16" s="68" t="s">
        <v>297</v>
      </c>
      <c r="BD16" s="67" t="s">
        <v>296</v>
      </c>
      <c r="BE16" s="68" t="s">
        <v>297</v>
      </c>
      <c r="BF16" s="67" t="s">
        <v>296</v>
      </c>
      <c r="BG16" s="68" t="s">
        <v>297</v>
      </c>
      <c r="BH16" s="67" t="s">
        <v>296</v>
      </c>
      <c r="BI16" s="68" t="s">
        <v>297</v>
      </c>
      <c r="BJ16" s="67" t="s">
        <v>296</v>
      </c>
      <c r="BK16" s="68" t="s">
        <v>297</v>
      </c>
      <c r="BL16" s="67" t="s">
        <v>296</v>
      </c>
      <c r="BM16" s="68" t="s">
        <v>297</v>
      </c>
      <c r="BN16" s="67" t="s">
        <v>296</v>
      </c>
      <c r="BO16" s="68" t="s">
        <v>297</v>
      </c>
      <c r="BP16" s="84" t="s">
        <v>280</v>
      </c>
      <c r="BQ16" s="85" t="s">
        <v>281</v>
      </c>
    </row>
    <row r="17" spans="1:69" x14ac:dyDescent="0.25">
      <c r="A17" s="26" t="s">
        <v>228</v>
      </c>
      <c r="B17" s="10"/>
      <c r="C17" s="10"/>
      <c r="D17" s="10"/>
      <c r="E17" s="10"/>
      <c r="F17" s="10"/>
      <c r="G17" s="10"/>
      <c r="H17" s="10">
        <v>382697</v>
      </c>
      <c r="I17" s="10">
        <v>531763</v>
      </c>
      <c r="J17" s="10">
        <v>101053</v>
      </c>
      <c r="K17" s="10">
        <v>182028</v>
      </c>
      <c r="L17" s="10">
        <v>104726</v>
      </c>
      <c r="M17" s="10">
        <v>143668</v>
      </c>
      <c r="N17" s="10"/>
      <c r="O17" s="10"/>
      <c r="P17" s="10">
        <v>6056</v>
      </c>
      <c r="Q17" s="10">
        <v>8423</v>
      </c>
      <c r="R17" s="10">
        <v>102383</v>
      </c>
      <c r="S17" s="10">
        <v>143872</v>
      </c>
      <c r="T17" s="10">
        <v>2570</v>
      </c>
      <c r="U17" s="10">
        <v>2620.33</v>
      </c>
      <c r="V17" s="10">
        <f>2821+305913</f>
        <v>308734</v>
      </c>
      <c r="W17" s="10">
        <f>7520+498852</f>
        <v>506372</v>
      </c>
      <c r="X17" s="10"/>
      <c r="Y17" s="10"/>
      <c r="Z17" s="10">
        <v>574463</v>
      </c>
      <c r="AA17" s="10">
        <v>1132215</v>
      </c>
      <c r="AB17" s="10">
        <v>-255525</v>
      </c>
      <c r="AC17" s="10">
        <v>-130331</v>
      </c>
      <c r="AD17" s="10"/>
      <c r="AE17" s="10"/>
      <c r="AF17" s="10">
        <v>46040</v>
      </c>
      <c r="AG17" s="10">
        <v>70980</v>
      </c>
      <c r="AH17" s="10">
        <v>23810</v>
      </c>
      <c r="AI17" s="10">
        <v>65555</v>
      </c>
      <c r="AJ17" s="10"/>
      <c r="AK17" s="10"/>
      <c r="AL17" s="10"/>
      <c r="AM17" s="10"/>
      <c r="AN17" s="10">
        <v>290434.95799999998</v>
      </c>
      <c r="AO17" s="10">
        <v>424414.45899999997</v>
      </c>
      <c r="AP17" s="10"/>
      <c r="AQ17" s="10"/>
      <c r="AR17" s="10"/>
      <c r="AS17" s="10"/>
      <c r="AT17" s="10">
        <v>178779</v>
      </c>
      <c r="AU17" s="10">
        <v>293127</v>
      </c>
      <c r="AV17" s="10"/>
      <c r="AW17" s="10"/>
      <c r="AX17" s="10">
        <v>57179</v>
      </c>
      <c r="AY17" s="10">
        <v>80088</v>
      </c>
      <c r="AZ17" s="10">
        <v>41728</v>
      </c>
      <c r="BA17" s="10">
        <v>55876</v>
      </c>
      <c r="BB17" s="10">
        <v>2047</v>
      </c>
      <c r="BC17" s="10">
        <v>2200</v>
      </c>
      <c r="BD17" s="10"/>
      <c r="BE17" s="10"/>
      <c r="BF17" s="10">
        <v>419435</v>
      </c>
      <c r="BG17" s="10">
        <v>720770</v>
      </c>
      <c r="BH17" s="10">
        <v>801464</v>
      </c>
      <c r="BI17" s="10">
        <v>1186564</v>
      </c>
      <c r="BJ17" s="10">
        <v>675490</v>
      </c>
      <c r="BK17" s="10">
        <v>904305</v>
      </c>
      <c r="BL17" s="108">
        <v>275548</v>
      </c>
      <c r="BM17" s="108">
        <v>400739</v>
      </c>
      <c r="BN17" s="10">
        <v>20080</v>
      </c>
      <c r="BO17" s="10">
        <v>24014</v>
      </c>
      <c r="BP17" s="88">
        <f t="shared" ref="BP17:BP22" si="2">SUM(B17+D17+F17+H17+J17+L17+N17+P17+R17+T17+V17+X17+Z17+AB17+AD17+AF17+AH17+AJ17+AL17+AN17+AP17+AR17+AT17+AV17+AX17+AZ17+BB17+BD17+BF17+BH17+BJ17+BL17+BN17)</f>
        <v>4159191.9580000001</v>
      </c>
      <c r="BQ17" s="88">
        <f t="shared" ref="BQ17:BQ22" si="3">SUM(C17+E17+G17+I17+K17+M17+O17+Q17+S17+U17+W17+Y17+AA17+AC17+AE17+AG17+AI17+AK17+AM17+AO17+AQ17+AS17+AU17+AW17+AY17+BA17+BC17+BE17+BG17+BI17+BK17+BM17+BO17)</f>
        <v>6749262.7889999999</v>
      </c>
    </row>
    <row r="18" spans="1:69" x14ac:dyDescent="0.25">
      <c r="A18" s="26" t="s">
        <v>279</v>
      </c>
      <c r="B18" s="10"/>
      <c r="C18" s="10"/>
      <c r="D18" s="10"/>
      <c r="E18" s="10"/>
      <c r="F18" s="10"/>
      <c r="G18" s="10"/>
      <c r="H18" s="10">
        <v>80920</v>
      </c>
      <c r="I18" s="10">
        <v>862240</v>
      </c>
      <c r="J18" s="10">
        <v>11273</v>
      </c>
      <c r="K18" s="10">
        <v>447011</v>
      </c>
      <c r="L18" s="10">
        <v>99705</v>
      </c>
      <c r="M18" s="10">
        <v>99705</v>
      </c>
      <c r="N18" s="10"/>
      <c r="O18" s="10"/>
      <c r="P18" s="10">
        <v>5565</v>
      </c>
      <c r="Q18" s="10">
        <v>5565</v>
      </c>
      <c r="R18" s="10">
        <v>393729</v>
      </c>
      <c r="S18" s="10">
        <v>393729</v>
      </c>
      <c r="T18" s="10">
        <v>4855</v>
      </c>
      <c r="U18" s="10">
        <v>4855.29</v>
      </c>
      <c r="V18" s="10">
        <f>1044861+1323554</f>
        <v>2368415</v>
      </c>
      <c r="W18" s="10">
        <f>1044861+1323554</f>
        <v>2368415</v>
      </c>
      <c r="X18" s="10"/>
      <c r="Y18" s="10"/>
      <c r="Z18" s="10">
        <v>10217069</v>
      </c>
      <c r="AA18" s="10">
        <v>10217069</v>
      </c>
      <c r="AB18" s="10">
        <v>-20550</v>
      </c>
      <c r="AC18" s="10">
        <v>552894</v>
      </c>
      <c r="AD18" s="10"/>
      <c r="AE18" s="10"/>
      <c r="AF18" s="10">
        <v>132792</v>
      </c>
      <c r="AG18" s="10">
        <v>132792</v>
      </c>
      <c r="AH18" s="10">
        <v>460705</v>
      </c>
      <c r="AI18" s="10">
        <v>460705</v>
      </c>
      <c r="AJ18" s="10"/>
      <c r="AK18" s="10"/>
      <c r="AL18" s="10"/>
      <c r="AM18" s="10"/>
      <c r="AN18" s="10">
        <v>214278.70400000052</v>
      </c>
      <c r="AO18" s="10">
        <v>2346842.9790000003</v>
      </c>
      <c r="AP18" s="10"/>
      <c r="AQ18" s="10"/>
      <c r="AR18" s="10">
        <v>585</v>
      </c>
      <c r="AS18" s="10">
        <v>812</v>
      </c>
      <c r="AT18" s="10">
        <v>214240</v>
      </c>
      <c r="AU18" s="10">
        <v>214240</v>
      </c>
      <c r="AV18" s="10"/>
      <c r="AW18" s="10"/>
      <c r="AX18" s="10">
        <v>-95322</v>
      </c>
      <c r="AY18" s="10">
        <v>409761</v>
      </c>
      <c r="AZ18" s="10">
        <v>209013</v>
      </c>
      <c r="BA18" s="10">
        <v>209013</v>
      </c>
      <c r="BB18" s="10">
        <v>11935</v>
      </c>
      <c r="BC18" s="10">
        <v>11935</v>
      </c>
      <c r="BD18" s="10"/>
      <c r="BE18" s="10"/>
      <c r="BF18" s="10">
        <v>1977237</v>
      </c>
      <c r="BG18" s="10">
        <v>1977237</v>
      </c>
      <c r="BH18" s="10">
        <v>9513240</v>
      </c>
      <c r="BI18" s="10">
        <v>9513240</v>
      </c>
      <c r="BJ18" s="10">
        <v>-291331</v>
      </c>
      <c r="BK18" s="10">
        <v>5907817</v>
      </c>
      <c r="BL18" s="108">
        <v>8637268</v>
      </c>
      <c r="BM18" s="108">
        <v>8637268</v>
      </c>
      <c r="BN18" s="10">
        <f>1234+70</f>
        <v>1304</v>
      </c>
      <c r="BO18" s="10">
        <f>1260+28792</f>
        <v>30052</v>
      </c>
      <c r="BP18" s="88">
        <f t="shared" si="2"/>
        <v>34146925.703999996</v>
      </c>
      <c r="BQ18" s="88">
        <f t="shared" si="3"/>
        <v>44803198.269000001</v>
      </c>
    </row>
    <row r="19" spans="1:69" x14ac:dyDescent="0.25">
      <c r="A19" s="26" t="s">
        <v>278</v>
      </c>
      <c r="B19" s="10"/>
      <c r="C19" s="10"/>
      <c r="D19" s="10"/>
      <c r="E19" s="10"/>
      <c r="F19" s="10"/>
      <c r="G19" s="10"/>
      <c r="H19" s="10"/>
      <c r="I19" s="10">
        <v>714403</v>
      </c>
      <c r="J19" s="10"/>
      <c r="K19" s="10">
        <v>419719</v>
      </c>
      <c r="L19" s="10">
        <v>77984</v>
      </c>
      <c r="M19" s="10">
        <v>64986</v>
      </c>
      <c r="N19" s="10"/>
      <c r="O19" s="10"/>
      <c r="P19" s="10">
        <v>3806</v>
      </c>
      <c r="Q19" s="10">
        <v>6162</v>
      </c>
      <c r="R19" s="10">
        <v>367925</v>
      </c>
      <c r="S19" s="10">
        <v>340696</v>
      </c>
      <c r="T19" s="10">
        <v>1531</v>
      </c>
      <c r="U19" s="10">
        <v>270.47000000000003</v>
      </c>
      <c r="V19" s="10">
        <f>-970939-1298708</f>
        <v>-2269647</v>
      </c>
      <c r="W19" s="10">
        <f>-1274444-1093378</f>
        <v>-2367822</v>
      </c>
      <c r="X19" s="10"/>
      <c r="Y19" s="10"/>
      <c r="Z19" s="10">
        <v>9902421</v>
      </c>
      <c r="AA19" s="10">
        <v>5899044</v>
      </c>
      <c r="AB19" s="10"/>
      <c r="AC19" s="10">
        <v>584103</v>
      </c>
      <c r="AD19" s="10"/>
      <c r="AE19" s="10"/>
      <c r="AF19" s="10">
        <v>127466</v>
      </c>
      <c r="AG19" s="10">
        <v>142203</v>
      </c>
      <c r="AH19" s="10">
        <v>-425028</v>
      </c>
      <c r="AI19" s="10">
        <v>-484869</v>
      </c>
      <c r="AJ19" s="10"/>
      <c r="AK19" s="10"/>
      <c r="AL19" s="10"/>
      <c r="AM19" s="10"/>
      <c r="AN19" s="10"/>
      <c r="AO19" s="10">
        <v>1907749.3829999997</v>
      </c>
      <c r="AP19" s="10"/>
      <c r="AQ19" s="10"/>
      <c r="AR19" s="10"/>
      <c r="AS19" s="10">
        <v>168</v>
      </c>
      <c r="AT19" s="10">
        <v>194226</v>
      </c>
      <c r="AU19" s="10">
        <v>199656</v>
      </c>
      <c r="AV19" s="10"/>
      <c r="AW19" s="10"/>
      <c r="AX19" s="10"/>
      <c r="AY19" s="10">
        <v>-419333</v>
      </c>
      <c r="AZ19" s="10">
        <v>213557</v>
      </c>
      <c r="BA19" s="10">
        <v>161178</v>
      </c>
      <c r="BB19" s="10">
        <v>12120</v>
      </c>
      <c r="BC19" s="10">
        <v>13065</v>
      </c>
      <c r="BD19" s="10"/>
      <c r="BE19" s="10"/>
      <c r="BF19" s="10">
        <v>1979726</v>
      </c>
      <c r="BG19" s="10">
        <v>1799545</v>
      </c>
      <c r="BH19" s="10">
        <v>7171295</v>
      </c>
      <c r="BI19" s="10">
        <v>6320172</v>
      </c>
      <c r="BJ19" s="10">
        <v>0</v>
      </c>
      <c r="BK19" s="10">
        <v>5839119</v>
      </c>
      <c r="BL19" s="108">
        <v>6020076</v>
      </c>
      <c r="BM19" s="108">
        <v>5744652</v>
      </c>
      <c r="BN19" s="10"/>
      <c r="BO19" s="10">
        <f>19+23302</f>
        <v>23321</v>
      </c>
      <c r="BP19" s="88">
        <f t="shared" si="2"/>
        <v>23377458</v>
      </c>
      <c r="BQ19" s="88">
        <f t="shared" si="3"/>
        <v>26908187.853</v>
      </c>
    </row>
    <row r="20" spans="1:69" x14ac:dyDescent="0.25">
      <c r="A20" s="26" t="s">
        <v>284</v>
      </c>
      <c r="B20" s="10"/>
      <c r="C20" s="10"/>
      <c r="D20" s="10"/>
      <c r="E20" s="10"/>
      <c r="F20" s="10"/>
      <c r="G20" s="10"/>
      <c r="H20" s="10">
        <v>463617</v>
      </c>
      <c r="I20" s="10">
        <v>679600</v>
      </c>
      <c r="J20" s="10"/>
      <c r="K20" s="10"/>
      <c r="L20" s="10">
        <v>126447</v>
      </c>
      <c r="M20" s="10">
        <v>178387</v>
      </c>
      <c r="N20" s="10"/>
      <c r="O20" s="10"/>
      <c r="P20" s="10">
        <v>7815</v>
      </c>
      <c r="Q20" s="10">
        <v>7826</v>
      </c>
      <c r="R20" s="10"/>
      <c r="S20" s="10"/>
      <c r="T20" s="10"/>
      <c r="U20" s="10"/>
      <c r="V20" s="10">
        <f>76743+330760</f>
        <v>407503</v>
      </c>
      <c r="W20" s="10">
        <f>-222063+729028</f>
        <v>506965</v>
      </c>
      <c r="X20" s="10"/>
      <c r="Y20" s="10"/>
      <c r="Z20" s="10">
        <v>889111</v>
      </c>
      <c r="AA20" s="10">
        <v>5450240</v>
      </c>
      <c r="AB20" s="10">
        <v>-276075</v>
      </c>
      <c r="AC20" s="10">
        <v>-161540</v>
      </c>
      <c r="AD20" s="10"/>
      <c r="AE20" s="10"/>
      <c r="AF20" s="10">
        <v>51366</v>
      </c>
      <c r="AG20" s="10">
        <v>61569</v>
      </c>
      <c r="AH20" s="10">
        <v>59487</v>
      </c>
      <c r="AI20" s="10">
        <v>41391</v>
      </c>
      <c r="AJ20" s="10"/>
      <c r="AK20" s="10"/>
      <c r="AL20" s="10"/>
      <c r="AM20" s="10"/>
      <c r="AN20" s="10"/>
      <c r="AO20" s="10"/>
      <c r="AP20" s="10"/>
      <c r="AQ20" s="10"/>
      <c r="AR20" s="10">
        <v>585</v>
      </c>
      <c r="AS20" s="10">
        <v>644</v>
      </c>
      <c r="AT20" s="10"/>
      <c r="AU20" s="10"/>
      <c r="AV20" s="10"/>
      <c r="AW20" s="10"/>
      <c r="AX20" s="10">
        <v>-38143</v>
      </c>
      <c r="AY20" s="10">
        <v>70516</v>
      </c>
      <c r="AZ20" s="10"/>
      <c r="BA20" s="10"/>
      <c r="BB20" s="10"/>
      <c r="BC20" s="10"/>
      <c r="BD20" s="10"/>
      <c r="BE20" s="10"/>
      <c r="BF20" s="10">
        <v>416946</v>
      </c>
      <c r="BG20" s="10">
        <v>898462</v>
      </c>
      <c r="BH20" s="10">
        <v>3143408</v>
      </c>
      <c r="BI20" s="10">
        <v>4379631</v>
      </c>
      <c r="BJ20" s="10">
        <v>384159</v>
      </c>
      <c r="BK20" s="10">
        <v>973003</v>
      </c>
      <c r="BL20" s="108">
        <v>2892740</v>
      </c>
      <c r="BM20" s="108">
        <v>3293355</v>
      </c>
      <c r="BN20" s="10">
        <f>1234+20150</f>
        <v>21384</v>
      </c>
      <c r="BO20" s="10">
        <f>1241+29504</f>
        <v>30745</v>
      </c>
      <c r="BP20" s="88">
        <f t="shared" si="2"/>
        <v>8550350</v>
      </c>
      <c r="BQ20" s="88">
        <f t="shared" si="3"/>
        <v>16410794</v>
      </c>
    </row>
    <row r="21" spans="1:69" x14ac:dyDescent="0.25">
      <c r="A21" s="26" t="s">
        <v>276</v>
      </c>
      <c r="B21" s="10"/>
      <c r="C21" s="10"/>
      <c r="D21" s="10"/>
      <c r="E21" s="10"/>
      <c r="F21" s="10"/>
      <c r="G21" s="10"/>
      <c r="H21" s="10">
        <v>374</v>
      </c>
      <c r="I21" s="10">
        <v>374</v>
      </c>
      <c r="J21" s="10">
        <v>1679</v>
      </c>
      <c r="K21" s="10">
        <v>5254</v>
      </c>
      <c r="L21" s="10"/>
      <c r="M21" s="10"/>
      <c r="N21" s="10"/>
      <c r="O21" s="10"/>
      <c r="P21" s="10"/>
      <c r="Q21" s="10"/>
      <c r="R21" s="10">
        <v>4180</v>
      </c>
      <c r="S21" s="10">
        <v>13241</v>
      </c>
      <c r="T21" s="10"/>
      <c r="U21" s="10"/>
      <c r="V21" s="10">
        <v>32555</v>
      </c>
      <c r="W21" s="10">
        <v>43251</v>
      </c>
      <c r="X21" s="10"/>
      <c r="Y21" s="10"/>
      <c r="Z21" s="10"/>
      <c r="AA21" s="10"/>
      <c r="AB21" s="10">
        <v>114</v>
      </c>
      <c r="AC21" s="10">
        <v>736</v>
      </c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>
        <v>48012.562000000005</v>
      </c>
      <c r="AO21" s="10">
        <v>96370.10100000001</v>
      </c>
      <c r="AP21" s="10"/>
      <c r="AQ21" s="10"/>
      <c r="AR21" s="10"/>
      <c r="AS21" s="10"/>
      <c r="AT21" s="10"/>
      <c r="AU21" s="10"/>
      <c r="AV21" s="10"/>
      <c r="AW21" s="10"/>
      <c r="AX21" s="10">
        <v>5</v>
      </c>
      <c r="AY21" s="10">
        <v>5</v>
      </c>
      <c r="AZ21" s="10"/>
      <c r="BA21" s="10"/>
      <c r="BB21" s="10"/>
      <c r="BC21" s="10"/>
      <c r="BD21" s="10"/>
      <c r="BE21" s="10"/>
      <c r="BF21" s="10">
        <v>6055</v>
      </c>
      <c r="BG21" s="10">
        <v>24125</v>
      </c>
      <c r="BH21" s="10"/>
      <c r="BI21" s="10"/>
      <c r="BJ21" s="10">
        <v>247</v>
      </c>
      <c r="BK21" s="10">
        <v>10741</v>
      </c>
      <c r="BL21" s="108">
        <v>50060</v>
      </c>
      <c r="BM21" s="108">
        <v>88975</v>
      </c>
      <c r="BN21" s="10"/>
      <c r="BO21" s="10"/>
      <c r="BP21" s="88">
        <f t="shared" si="2"/>
        <v>143281.56200000001</v>
      </c>
      <c r="BQ21" s="88">
        <f t="shared" si="3"/>
        <v>283072.10100000002</v>
      </c>
    </row>
    <row r="22" spans="1:69" x14ac:dyDescent="0.25">
      <c r="A22" s="26" t="s">
        <v>277</v>
      </c>
      <c r="B22" s="10"/>
      <c r="C22" s="10"/>
      <c r="D22" s="10"/>
      <c r="E22" s="10"/>
      <c r="F22" s="10"/>
      <c r="G22" s="10"/>
      <c r="H22" s="10">
        <v>223940</v>
      </c>
      <c r="I22" s="10">
        <v>244338</v>
      </c>
      <c r="J22" s="10">
        <v>26113</v>
      </c>
      <c r="K22" s="10">
        <v>39595</v>
      </c>
      <c r="L22" s="10">
        <v>78608</v>
      </c>
      <c r="M22" s="10">
        <v>105020</v>
      </c>
      <c r="N22" s="10"/>
      <c r="O22" s="10"/>
      <c r="P22" s="10">
        <v>6032</v>
      </c>
      <c r="Q22" s="10">
        <v>5318</v>
      </c>
      <c r="R22" s="10">
        <v>10885</v>
      </c>
      <c r="S22" s="10">
        <v>13130</v>
      </c>
      <c r="T22" s="10">
        <v>2104</v>
      </c>
      <c r="U22" s="10">
        <v>2146.34</v>
      </c>
      <c r="V22" s="10"/>
      <c r="W22" s="10"/>
      <c r="X22" s="10"/>
      <c r="Y22" s="10"/>
      <c r="Z22" s="10"/>
      <c r="AA22" s="10"/>
      <c r="AB22" s="10">
        <v>-386977</v>
      </c>
      <c r="AC22" s="10">
        <v>-348348</v>
      </c>
      <c r="AD22" s="10"/>
      <c r="AE22" s="10"/>
      <c r="AF22" s="10">
        <v>2309</v>
      </c>
      <c r="AG22" s="10">
        <v>3529</v>
      </c>
      <c r="AH22" s="10"/>
      <c r="AI22" s="10"/>
      <c r="AJ22" s="10"/>
      <c r="AK22" s="10"/>
      <c r="AL22" s="10"/>
      <c r="AM22" s="10"/>
      <c r="AN22" s="10">
        <v>114295.99400000001</v>
      </c>
      <c r="AO22" s="10">
        <v>92354.624000000011</v>
      </c>
      <c r="AP22" s="10"/>
      <c r="AQ22" s="10"/>
      <c r="AR22" s="10"/>
      <c r="AS22" s="10"/>
      <c r="AT22" s="10">
        <v>160759</v>
      </c>
      <c r="AU22" s="10">
        <v>266755</v>
      </c>
      <c r="AV22" s="10"/>
      <c r="AW22" s="10"/>
      <c r="AX22" s="10">
        <v>-28038</v>
      </c>
      <c r="AY22" s="10">
        <v>-40872</v>
      </c>
      <c r="AZ22" s="10">
        <v>2470</v>
      </c>
      <c r="BA22" s="10">
        <v>4380</v>
      </c>
      <c r="BB22" s="10">
        <v>784</v>
      </c>
      <c r="BC22" s="10">
        <v>792</v>
      </c>
      <c r="BD22" s="10"/>
      <c r="BE22" s="10"/>
      <c r="BF22" s="10">
        <v>36128</v>
      </c>
      <c r="BG22" s="10">
        <v>24996</v>
      </c>
      <c r="BH22" s="10"/>
      <c r="BI22" s="10"/>
      <c r="BJ22" s="10">
        <v>68812</v>
      </c>
      <c r="BK22" s="10">
        <v>306926</v>
      </c>
      <c r="BL22" s="108">
        <v>2393626</v>
      </c>
      <c r="BM22" s="108">
        <v>2601108</v>
      </c>
      <c r="BN22" s="10">
        <v>15756</v>
      </c>
      <c r="BO22" s="10">
        <v>18187</v>
      </c>
      <c r="BP22" s="88">
        <f t="shared" si="2"/>
        <v>2727606.9939999999</v>
      </c>
      <c r="BQ22" s="88">
        <f t="shared" si="3"/>
        <v>3339354.9640000002</v>
      </c>
    </row>
    <row r="23" spans="1:69" x14ac:dyDescent="0.25">
      <c r="A23" s="26" t="s">
        <v>273</v>
      </c>
      <c r="B23" s="10"/>
      <c r="C23" s="10"/>
      <c r="D23" s="10"/>
      <c r="E23" s="10"/>
      <c r="F23" s="10"/>
      <c r="G23" s="10"/>
      <c r="H23" s="10">
        <v>240051</v>
      </c>
      <c r="I23" s="10">
        <v>435636</v>
      </c>
      <c r="J23" s="10">
        <v>87891</v>
      </c>
      <c r="K23" s="10">
        <v>174979</v>
      </c>
      <c r="L23" s="10">
        <v>47839</v>
      </c>
      <c r="M23" s="10">
        <v>73367</v>
      </c>
      <c r="N23" s="10"/>
      <c r="O23" s="10"/>
      <c r="P23" s="10">
        <v>1783</v>
      </c>
      <c r="Q23" s="10">
        <v>2508</v>
      </c>
      <c r="R23" s="10">
        <v>121482</v>
      </c>
      <c r="S23" s="10">
        <v>197016</v>
      </c>
      <c r="T23" s="10">
        <v>3791</v>
      </c>
      <c r="U23" s="10">
        <v>5059</v>
      </c>
      <c r="V23" s="10">
        <v>161664</v>
      </c>
      <c r="W23" s="10">
        <f>-280+353030</f>
        <v>352750</v>
      </c>
      <c r="X23" s="10"/>
      <c r="Y23" s="10"/>
      <c r="Z23" s="10">
        <v>406464</v>
      </c>
      <c r="AA23" s="10">
        <v>903338</v>
      </c>
      <c r="AB23" s="10">
        <v>111016</v>
      </c>
      <c r="AC23" s="10">
        <v>187544</v>
      </c>
      <c r="AD23" s="10"/>
      <c r="AE23" s="10"/>
      <c r="AF23" s="10">
        <v>48965</v>
      </c>
      <c r="AG23" s="10">
        <v>56167</v>
      </c>
      <c r="AH23" s="10">
        <v>3337</v>
      </c>
      <c r="AI23" s="10">
        <v>6345</v>
      </c>
      <c r="AJ23" s="10"/>
      <c r="AK23" s="10"/>
      <c r="AL23" s="10"/>
      <c r="AM23" s="10"/>
      <c r="AN23" s="10">
        <v>438431.23000000056</v>
      </c>
      <c r="AO23" s="10">
        <v>867522.53200000036</v>
      </c>
      <c r="AP23" s="10"/>
      <c r="AQ23" s="10"/>
      <c r="AR23" s="10">
        <v>585</v>
      </c>
      <c r="AS23" s="10">
        <v>644</v>
      </c>
      <c r="AT23" s="10">
        <v>38034</v>
      </c>
      <c r="AU23" s="10">
        <v>40956</v>
      </c>
      <c r="AV23" s="10"/>
      <c r="AW23" s="10"/>
      <c r="AX23" s="10">
        <v>14320</v>
      </c>
      <c r="AY23" s="10">
        <v>43881</v>
      </c>
      <c r="AZ23" s="10">
        <v>34714</v>
      </c>
      <c r="BA23" s="10">
        <v>99331</v>
      </c>
      <c r="BB23" s="10">
        <v>1078</v>
      </c>
      <c r="BC23" s="10">
        <v>279</v>
      </c>
      <c r="BD23" s="10"/>
      <c r="BE23" s="10"/>
      <c r="BF23" s="10">
        <v>386873</v>
      </c>
      <c r="BG23" s="10">
        <v>897591</v>
      </c>
      <c r="BH23" s="10">
        <v>778079</v>
      </c>
      <c r="BI23" s="10">
        <v>1083044</v>
      </c>
      <c r="BJ23" s="10">
        <v>315594</v>
      </c>
      <c r="BK23" s="10">
        <v>676818</v>
      </c>
      <c r="BL23" s="108">
        <v>549174</v>
      </c>
      <c r="BM23" s="108">
        <v>781222</v>
      </c>
      <c r="BN23" s="10">
        <f>1234+4394</f>
        <v>5628</v>
      </c>
      <c r="BO23" s="10">
        <f>1241+11317</f>
        <v>12558</v>
      </c>
      <c r="BP23" s="88" t="e">
        <f>SUM(B23+D23+F23+H23+J23+L23+N23+P23+R23+T23+V23+X23+Z23+AB23+AD23+AF23+AH23+AJ23+AL23+AN23+AP23+AR23+AT23+AV23+#REF!+AZ23+BB23+BD23+BF23+BH23+BJ23+BL23+BN23)</f>
        <v>#REF!</v>
      </c>
      <c r="BQ23" s="88" t="e">
        <f>SUM(C23+E23+G23+I23+K23+M23+O23+Q23+S23+U23+W23+Y23+AA23+AC23+AE23+AG23+AI23+AK23+AM23+AO23+AQ23+AS23+AU23+AW23+#REF!+BA23+BC23+BE23+BG23+BI23+BK23+BM23+BO23)</f>
        <v>#REF!</v>
      </c>
    </row>
    <row r="24" spans="1:69" x14ac:dyDescent="0.25">
      <c r="A24" s="18"/>
    </row>
    <row r="25" spans="1:69" x14ac:dyDescent="0.25">
      <c r="A25" s="33" t="s">
        <v>218</v>
      </c>
    </row>
    <row r="26" spans="1:69" x14ac:dyDescent="0.25">
      <c r="A26" s="3" t="s">
        <v>0</v>
      </c>
      <c r="B26" s="116" t="s">
        <v>1</v>
      </c>
      <c r="C26" s="117"/>
      <c r="D26" s="116" t="s">
        <v>285</v>
      </c>
      <c r="E26" s="117"/>
      <c r="F26" s="116" t="s">
        <v>2</v>
      </c>
      <c r="G26" s="117"/>
      <c r="H26" s="116" t="s">
        <v>3</v>
      </c>
      <c r="I26" s="117"/>
      <c r="J26" s="116" t="s">
        <v>4</v>
      </c>
      <c r="K26" s="117"/>
      <c r="L26" s="116" t="s">
        <v>286</v>
      </c>
      <c r="M26" s="117"/>
      <c r="N26" s="116" t="s">
        <v>6</v>
      </c>
      <c r="O26" s="117"/>
      <c r="P26" s="116" t="s">
        <v>5</v>
      </c>
      <c r="Q26" s="117"/>
      <c r="R26" s="116" t="s">
        <v>7</v>
      </c>
      <c r="S26" s="117"/>
      <c r="T26" s="116" t="s">
        <v>287</v>
      </c>
      <c r="U26" s="117"/>
      <c r="V26" s="116" t="s">
        <v>8</v>
      </c>
      <c r="W26" s="117"/>
      <c r="X26" s="116" t="s">
        <v>288</v>
      </c>
      <c r="Y26" s="117"/>
      <c r="Z26" s="116" t="s">
        <v>9</v>
      </c>
      <c r="AA26" s="117"/>
      <c r="AB26" s="116" t="s">
        <v>10</v>
      </c>
      <c r="AC26" s="117"/>
      <c r="AD26" s="116" t="s">
        <v>289</v>
      </c>
      <c r="AE26" s="117"/>
      <c r="AF26" s="116" t="s">
        <v>11</v>
      </c>
      <c r="AG26" s="117"/>
      <c r="AH26" s="116" t="s">
        <v>12</v>
      </c>
      <c r="AI26" s="117"/>
      <c r="AJ26" s="116" t="s">
        <v>290</v>
      </c>
      <c r="AK26" s="117"/>
      <c r="AL26" s="116" t="s">
        <v>299</v>
      </c>
      <c r="AM26" s="117"/>
      <c r="AN26" s="116" t="s">
        <v>13</v>
      </c>
      <c r="AO26" s="117"/>
      <c r="AP26" s="116" t="s">
        <v>291</v>
      </c>
      <c r="AQ26" s="117"/>
      <c r="AR26" s="116" t="s">
        <v>292</v>
      </c>
      <c r="AS26" s="117"/>
      <c r="AT26" s="116" t="s">
        <v>307</v>
      </c>
      <c r="AU26" s="117"/>
      <c r="AV26" s="116" t="s">
        <v>293</v>
      </c>
      <c r="AW26" s="117"/>
      <c r="AX26" s="116" t="s">
        <v>14</v>
      </c>
      <c r="AY26" s="117"/>
      <c r="AZ26" s="116" t="s">
        <v>15</v>
      </c>
      <c r="BA26" s="117"/>
      <c r="BB26" s="116" t="s">
        <v>16</v>
      </c>
      <c r="BC26" s="117"/>
      <c r="BD26" s="116" t="s">
        <v>17</v>
      </c>
      <c r="BE26" s="117"/>
      <c r="BF26" s="116" t="s">
        <v>18</v>
      </c>
      <c r="BG26" s="117"/>
      <c r="BH26" s="116" t="s">
        <v>294</v>
      </c>
      <c r="BI26" s="117"/>
      <c r="BJ26" s="116" t="s">
        <v>295</v>
      </c>
      <c r="BK26" s="117"/>
      <c r="BL26" s="116" t="s">
        <v>19</v>
      </c>
      <c r="BM26" s="117"/>
      <c r="BN26" s="116" t="s">
        <v>20</v>
      </c>
      <c r="BO26" s="117"/>
      <c r="BP26" s="118" t="s">
        <v>21</v>
      </c>
      <c r="BQ26" s="119"/>
    </row>
    <row r="27" spans="1:69" ht="30" x14ac:dyDescent="0.25">
      <c r="A27" s="3"/>
      <c r="B27" s="67" t="s">
        <v>296</v>
      </c>
      <c r="C27" s="68" t="s">
        <v>297</v>
      </c>
      <c r="D27" s="67" t="s">
        <v>296</v>
      </c>
      <c r="E27" s="68" t="s">
        <v>297</v>
      </c>
      <c r="F27" s="67" t="s">
        <v>296</v>
      </c>
      <c r="G27" s="68" t="s">
        <v>297</v>
      </c>
      <c r="H27" s="67" t="s">
        <v>296</v>
      </c>
      <c r="I27" s="68" t="s">
        <v>297</v>
      </c>
      <c r="J27" s="67" t="s">
        <v>296</v>
      </c>
      <c r="K27" s="68" t="s">
        <v>297</v>
      </c>
      <c r="L27" s="67" t="s">
        <v>296</v>
      </c>
      <c r="M27" s="68" t="s">
        <v>297</v>
      </c>
      <c r="N27" s="67" t="s">
        <v>296</v>
      </c>
      <c r="O27" s="68" t="s">
        <v>297</v>
      </c>
      <c r="P27" s="67" t="s">
        <v>296</v>
      </c>
      <c r="Q27" s="68" t="s">
        <v>297</v>
      </c>
      <c r="R27" s="67" t="s">
        <v>296</v>
      </c>
      <c r="S27" s="68" t="s">
        <v>297</v>
      </c>
      <c r="T27" s="67" t="s">
        <v>296</v>
      </c>
      <c r="U27" s="68" t="s">
        <v>297</v>
      </c>
      <c r="V27" s="67" t="s">
        <v>296</v>
      </c>
      <c r="W27" s="68" t="s">
        <v>297</v>
      </c>
      <c r="X27" s="67" t="s">
        <v>296</v>
      </c>
      <c r="Y27" s="68" t="s">
        <v>297</v>
      </c>
      <c r="Z27" s="67" t="s">
        <v>296</v>
      </c>
      <c r="AA27" s="68" t="s">
        <v>297</v>
      </c>
      <c r="AB27" s="67" t="s">
        <v>296</v>
      </c>
      <c r="AC27" s="68" t="s">
        <v>297</v>
      </c>
      <c r="AD27" s="67" t="s">
        <v>296</v>
      </c>
      <c r="AE27" s="68" t="s">
        <v>297</v>
      </c>
      <c r="AF27" s="67" t="s">
        <v>296</v>
      </c>
      <c r="AG27" s="68" t="s">
        <v>297</v>
      </c>
      <c r="AH27" s="67" t="s">
        <v>296</v>
      </c>
      <c r="AI27" s="68" t="s">
        <v>297</v>
      </c>
      <c r="AJ27" s="67" t="s">
        <v>296</v>
      </c>
      <c r="AK27" s="68" t="s">
        <v>297</v>
      </c>
      <c r="AL27" s="67" t="s">
        <v>296</v>
      </c>
      <c r="AM27" s="68" t="s">
        <v>297</v>
      </c>
      <c r="AN27" s="67" t="s">
        <v>296</v>
      </c>
      <c r="AO27" s="68" t="s">
        <v>297</v>
      </c>
      <c r="AP27" s="67" t="s">
        <v>296</v>
      </c>
      <c r="AQ27" s="68" t="s">
        <v>297</v>
      </c>
      <c r="AR27" s="67" t="s">
        <v>296</v>
      </c>
      <c r="AS27" s="68" t="s">
        <v>297</v>
      </c>
      <c r="AT27" s="67" t="s">
        <v>296</v>
      </c>
      <c r="AU27" s="68" t="s">
        <v>297</v>
      </c>
      <c r="AV27" s="67" t="s">
        <v>296</v>
      </c>
      <c r="AW27" s="68" t="s">
        <v>297</v>
      </c>
      <c r="AX27" s="67" t="s">
        <v>296</v>
      </c>
      <c r="AY27" s="68" t="s">
        <v>297</v>
      </c>
      <c r="AZ27" s="67" t="s">
        <v>296</v>
      </c>
      <c r="BA27" s="68" t="s">
        <v>297</v>
      </c>
      <c r="BB27" s="67" t="s">
        <v>296</v>
      </c>
      <c r="BC27" s="68" t="s">
        <v>297</v>
      </c>
      <c r="BD27" s="67" t="s">
        <v>296</v>
      </c>
      <c r="BE27" s="68" t="s">
        <v>297</v>
      </c>
      <c r="BF27" s="67" t="s">
        <v>296</v>
      </c>
      <c r="BG27" s="68" t="s">
        <v>297</v>
      </c>
      <c r="BH27" s="67" t="s">
        <v>296</v>
      </c>
      <c r="BI27" s="68" t="s">
        <v>297</v>
      </c>
      <c r="BJ27" s="67" t="s">
        <v>296</v>
      </c>
      <c r="BK27" s="68" t="s">
        <v>297</v>
      </c>
      <c r="BL27" s="67" t="s">
        <v>296</v>
      </c>
      <c r="BM27" s="68" t="s">
        <v>297</v>
      </c>
      <c r="BN27" s="67" t="s">
        <v>296</v>
      </c>
      <c r="BO27" s="68" t="s">
        <v>297</v>
      </c>
      <c r="BP27" s="84" t="s">
        <v>280</v>
      </c>
      <c r="BQ27" s="85" t="s">
        <v>281</v>
      </c>
    </row>
    <row r="28" spans="1:69" x14ac:dyDescent="0.25">
      <c r="A28" s="26" t="s">
        <v>228</v>
      </c>
      <c r="B28" s="10">
        <v>145283</v>
      </c>
      <c r="C28" s="10">
        <v>224858</v>
      </c>
      <c r="D28" s="10"/>
      <c r="E28" s="10"/>
      <c r="F28" s="10"/>
      <c r="G28" s="10"/>
      <c r="H28" s="10">
        <v>3582899</v>
      </c>
      <c r="I28" s="10">
        <v>5181102</v>
      </c>
      <c r="J28" s="10">
        <v>1784922</v>
      </c>
      <c r="K28" s="10">
        <v>2210719</v>
      </c>
      <c r="L28" s="10">
        <v>2895817</v>
      </c>
      <c r="M28" s="10">
        <v>4178590</v>
      </c>
      <c r="N28" s="10"/>
      <c r="O28" s="10"/>
      <c r="P28" s="10">
        <v>138715</v>
      </c>
      <c r="Q28" s="10">
        <v>190220</v>
      </c>
      <c r="R28" s="10">
        <v>1213737</v>
      </c>
      <c r="S28" s="10">
        <v>1666116</v>
      </c>
      <c r="T28" s="10">
        <v>832151</v>
      </c>
      <c r="U28" s="10">
        <v>1167977</v>
      </c>
      <c r="V28" s="10">
        <f>571667+2561497</f>
        <v>3133164</v>
      </c>
      <c r="W28" s="10">
        <f>873080+3721729</f>
        <v>4594809</v>
      </c>
      <c r="X28" s="10"/>
      <c r="Y28" s="10"/>
      <c r="Z28" s="10">
        <v>8108464</v>
      </c>
      <c r="AA28" s="10">
        <v>11625735</v>
      </c>
      <c r="AB28" s="10">
        <v>4183026</v>
      </c>
      <c r="AC28" s="10">
        <v>6117620</v>
      </c>
      <c r="AD28" s="10">
        <v>212244</v>
      </c>
      <c r="AE28" s="10">
        <v>293965</v>
      </c>
      <c r="AF28" s="10">
        <f>829231+108010</f>
        <v>937241</v>
      </c>
      <c r="AG28" s="10">
        <f>1218546+150492</f>
        <v>1369038</v>
      </c>
      <c r="AH28" s="10">
        <v>496502</v>
      </c>
      <c r="AI28" s="10">
        <v>646106</v>
      </c>
      <c r="AJ28" s="10"/>
      <c r="AK28" s="10"/>
      <c r="AL28" s="10"/>
      <c r="AM28" s="10"/>
      <c r="AN28" s="10">
        <v>8386363.6859999998</v>
      </c>
      <c r="AO28" s="10">
        <v>12634053.773</v>
      </c>
      <c r="AP28" s="10">
        <v>41925</v>
      </c>
      <c r="AQ28" s="10">
        <v>59918</v>
      </c>
      <c r="AR28" s="10">
        <f>36366+51321</f>
        <v>87687</v>
      </c>
      <c r="AS28" s="10">
        <f>36553+61484</f>
        <v>98037</v>
      </c>
      <c r="AT28" s="10">
        <v>2687814</v>
      </c>
      <c r="AU28" s="10">
        <v>3841093</v>
      </c>
      <c r="AV28" s="10"/>
      <c r="AW28" s="10"/>
      <c r="AX28" s="10">
        <v>2607262</v>
      </c>
      <c r="AY28" s="10">
        <v>3528774</v>
      </c>
      <c r="AZ28" s="10">
        <v>1574671</v>
      </c>
      <c r="BA28" s="10">
        <v>2336947</v>
      </c>
      <c r="BB28" s="10">
        <v>1617192</v>
      </c>
      <c r="BC28" s="10">
        <v>2598033</v>
      </c>
      <c r="BD28" s="10"/>
      <c r="BE28" s="10"/>
      <c r="BF28" s="10">
        <v>3515951</v>
      </c>
      <c r="BG28" s="10">
        <v>4752235</v>
      </c>
      <c r="BH28" s="10">
        <v>12681911</v>
      </c>
      <c r="BI28" s="10">
        <v>19997326</v>
      </c>
      <c r="BJ28" s="10">
        <v>5212819</v>
      </c>
      <c r="BK28" s="10">
        <v>8242920</v>
      </c>
      <c r="BL28" s="108">
        <v>7173130</v>
      </c>
      <c r="BM28" s="108">
        <v>11323427</v>
      </c>
      <c r="BN28" s="10">
        <f>232537+911940</f>
        <v>1144477</v>
      </c>
      <c r="BO28" s="10">
        <f>1250188+265302</f>
        <v>1515490</v>
      </c>
      <c r="BP28" s="88">
        <f t="shared" ref="BP28:BP33" si="4">SUM(B28+D28+F28+H28+J28+L28+N28+P28+R28+T28+V28+X28+Z28+AB28+AD28+AF28+AH28+AJ28+AL28+AN28+AP28+AR28+AT28+AV28+AX28+AZ28+BB28+BD28+BF28+BH28+BJ28+BL28+BN28)</f>
        <v>74395367.68599999</v>
      </c>
      <c r="BQ28" s="88">
        <f t="shared" ref="BQ28:BQ33" si="5">SUM(C28+E28+G28+I28+K28+M28+O28+Q28+S28+U28+W28+Y28+AA28+AC28+AE28+AG28+AI28+AK28+AM28+AO28+AQ28+AS28+AU28+AW28+AY28+BA28+BC28+BE28+BG28+BI28+BK28+BM28+BO28)</f>
        <v>110395108.773</v>
      </c>
    </row>
    <row r="29" spans="1:69" x14ac:dyDescent="0.25">
      <c r="A29" s="26" t="s">
        <v>279</v>
      </c>
      <c r="B29" s="10">
        <v>715796</v>
      </c>
      <c r="C29" s="10">
        <v>715796</v>
      </c>
      <c r="D29" s="10"/>
      <c r="E29" s="10"/>
      <c r="F29" s="10"/>
      <c r="G29" s="10"/>
      <c r="H29" s="10">
        <v>3587232</v>
      </c>
      <c r="I29" s="10">
        <v>80935624</v>
      </c>
      <c r="J29" s="10">
        <v>326026</v>
      </c>
      <c r="K29" s="10">
        <v>22964919</v>
      </c>
      <c r="L29" s="10">
        <v>58218288</v>
      </c>
      <c r="M29" s="10">
        <v>58218288</v>
      </c>
      <c r="N29" s="10"/>
      <c r="O29" s="10"/>
      <c r="P29" s="10">
        <v>237696</v>
      </c>
      <c r="Q29" s="10">
        <v>237696</v>
      </c>
      <c r="R29" s="10">
        <v>20043792</v>
      </c>
      <c r="S29" s="10">
        <v>20043792</v>
      </c>
      <c r="T29" s="10">
        <v>12954300</v>
      </c>
      <c r="U29" s="10">
        <v>12954300</v>
      </c>
      <c r="V29" s="10">
        <f>44601505+4053796</f>
        <v>48655301</v>
      </c>
      <c r="W29" s="10">
        <f>44601505+4053796</f>
        <v>48655301</v>
      </c>
      <c r="X29" s="10"/>
      <c r="Y29" s="10"/>
      <c r="Z29" s="10">
        <v>114393946</v>
      </c>
      <c r="AA29" s="10">
        <v>114393946</v>
      </c>
      <c r="AB29" s="10">
        <v>2679474</v>
      </c>
      <c r="AC29" s="10">
        <v>51214641</v>
      </c>
      <c r="AD29" s="10">
        <v>2703956</v>
      </c>
      <c r="AE29" s="10">
        <v>2703956</v>
      </c>
      <c r="AF29" s="10">
        <f>755547+9091961</f>
        <v>9847508</v>
      </c>
      <c r="AG29" s="10">
        <f>755547+9091961</f>
        <v>9847508</v>
      </c>
      <c r="AH29" s="10">
        <v>17203549</v>
      </c>
      <c r="AI29" s="10">
        <v>17203549</v>
      </c>
      <c r="AJ29" s="10"/>
      <c r="AK29" s="10"/>
      <c r="AL29" s="10"/>
      <c r="AM29" s="10"/>
      <c r="AN29" s="10">
        <v>2524997.9317071373</v>
      </c>
      <c r="AO29" s="10">
        <v>145491833.22700593</v>
      </c>
      <c r="AP29" s="10">
        <v>857069</v>
      </c>
      <c r="AQ29" s="10">
        <v>857069</v>
      </c>
      <c r="AR29" s="10">
        <f>170721+33904</f>
        <v>204625</v>
      </c>
      <c r="AS29" s="10">
        <f>2167077+57739</f>
        <v>2224816</v>
      </c>
      <c r="AT29" s="10">
        <v>51289400</v>
      </c>
      <c r="AU29" s="10">
        <v>51289400</v>
      </c>
      <c r="AV29" s="10"/>
      <c r="AW29" s="10"/>
      <c r="AX29" s="10">
        <v>1899360</v>
      </c>
      <c r="AY29" s="10">
        <v>37575288</v>
      </c>
      <c r="AZ29" s="10">
        <v>18404993</v>
      </c>
      <c r="BA29" s="10">
        <v>18404993</v>
      </c>
      <c r="BB29" s="10">
        <v>68063348</v>
      </c>
      <c r="BC29" s="10">
        <v>68063348</v>
      </c>
      <c r="BD29" s="10"/>
      <c r="BE29" s="10"/>
      <c r="BF29" s="10">
        <v>51111675</v>
      </c>
      <c r="BG29" s="10">
        <v>51111675</v>
      </c>
      <c r="BH29" s="10">
        <v>206358326</v>
      </c>
      <c r="BI29" s="10">
        <v>206358326</v>
      </c>
      <c r="BJ29" s="10">
        <v>3160983</v>
      </c>
      <c r="BK29" s="10">
        <v>119369482</v>
      </c>
      <c r="BL29" s="108">
        <v>182020977</v>
      </c>
      <c r="BM29" s="108">
        <v>182020977</v>
      </c>
      <c r="BN29" s="10">
        <f>737437+78854</f>
        <v>816291</v>
      </c>
      <c r="BO29" s="10">
        <f>946607+10976671</f>
        <v>11923278</v>
      </c>
      <c r="BP29" s="88">
        <f t="shared" si="4"/>
        <v>878278908.93170714</v>
      </c>
      <c r="BQ29" s="88">
        <f t="shared" si="5"/>
        <v>1334779801.227006</v>
      </c>
    </row>
    <row r="30" spans="1:69" x14ac:dyDescent="0.25">
      <c r="A30" s="26" t="s">
        <v>278</v>
      </c>
      <c r="B30" s="10">
        <v>714138</v>
      </c>
      <c r="C30" s="10">
        <v>598782</v>
      </c>
      <c r="D30" s="10"/>
      <c r="E30" s="10"/>
      <c r="F30" s="10"/>
      <c r="G30" s="10"/>
      <c r="H30" s="10"/>
      <c r="I30" s="10">
        <v>70960655</v>
      </c>
      <c r="J30" s="10"/>
      <c r="K30" s="10">
        <v>20789158</v>
      </c>
      <c r="L30" s="10">
        <v>55736206</v>
      </c>
      <c r="M30" s="10">
        <v>52128510</v>
      </c>
      <c r="N30" s="10"/>
      <c r="O30" s="10"/>
      <c r="P30" s="10">
        <v>160759</v>
      </c>
      <c r="Q30" s="10">
        <v>455885</v>
      </c>
      <c r="R30" s="10">
        <v>19237854</v>
      </c>
      <c r="S30" s="10">
        <v>17797715</v>
      </c>
      <c r="T30" s="10">
        <v>10893130</v>
      </c>
      <c r="U30" s="10">
        <v>8762277</v>
      </c>
      <c r="V30" s="10">
        <f>-41857834-3983100</f>
        <v>-45840934</v>
      </c>
      <c r="W30" s="10">
        <f>-38952857-2457740</f>
        <v>-41410597</v>
      </c>
      <c r="X30" s="10"/>
      <c r="Y30" s="10"/>
      <c r="Z30" s="10">
        <v>112649396</v>
      </c>
      <c r="AA30" s="10">
        <v>105539066</v>
      </c>
      <c r="AB30" s="10">
        <v>1</v>
      </c>
      <c r="AC30" s="10">
        <v>44577678</v>
      </c>
      <c r="AD30" s="10">
        <v>2469053</v>
      </c>
      <c r="AE30" s="10">
        <v>2186158</v>
      </c>
      <c r="AF30" s="10">
        <f>834191+8376844</f>
        <v>9211035</v>
      </c>
      <c r="AG30" s="10">
        <f>695486+8003610</f>
        <v>8699096</v>
      </c>
      <c r="AH30" s="10">
        <v>-16122270</v>
      </c>
      <c r="AI30" s="10">
        <v>-14445655</v>
      </c>
      <c r="AJ30" s="10"/>
      <c r="AK30" s="10"/>
      <c r="AL30" s="10"/>
      <c r="AM30" s="10"/>
      <c r="AN30" s="10"/>
      <c r="AO30" s="10">
        <v>139204959.116</v>
      </c>
      <c r="AP30" s="10">
        <v>-760335</v>
      </c>
      <c r="AQ30" s="10">
        <v>-662365</v>
      </c>
      <c r="AR30" s="10"/>
      <c r="AS30" s="10">
        <f>1761113+7804</f>
        <v>1768917</v>
      </c>
      <c r="AT30" s="10">
        <v>49344599</v>
      </c>
      <c r="AU30" s="10">
        <v>46572451</v>
      </c>
      <c r="AV30" s="10"/>
      <c r="AW30" s="10"/>
      <c r="AX30" s="10"/>
      <c r="AY30" s="10">
        <v>-33256984</v>
      </c>
      <c r="AZ30" s="10">
        <v>17833853</v>
      </c>
      <c r="BA30" s="10">
        <v>16290500</v>
      </c>
      <c r="BB30" s="10">
        <v>64846731</v>
      </c>
      <c r="BC30" s="10">
        <v>62221302</v>
      </c>
      <c r="BD30" s="10"/>
      <c r="BE30" s="10"/>
      <c r="BF30" s="10">
        <v>46549601</v>
      </c>
      <c r="BG30" s="10">
        <v>42192986</v>
      </c>
      <c r="BH30" s="10">
        <v>200796710</v>
      </c>
      <c r="BI30" s="10">
        <v>194212361</v>
      </c>
      <c r="BJ30" s="10">
        <v>1</v>
      </c>
      <c r="BK30" s="10">
        <v>112024437</v>
      </c>
      <c r="BL30" s="108">
        <v>177331211</v>
      </c>
      <c r="BM30" s="108">
        <v>173596503</v>
      </c>
      <c r="BN30" s="10"/>
      <c r="BO30" s="10">
        <f>573632+9300971</f>
        <v>9874603</v>
      </c>
      <c r="BP30" s="88">
        <f t="shared" si="4"/>
        <v>705050739</v>
      </c>
      <c r="BQ30" s="88">
        <f t="shared" si="5"/>
        <v>1040678398.1159999</v>
      </c>
    </row>
    <row r="31" spans="1:69" x14ac:dyDescent="0.25">
      <c r="A31" s="26" t="s">
        <v>284</v>
      </c>
      <c r="B31" s="10"/>
      <c r="C31" s="10"/>
      <c r="D31" s="10"/>
      <c r="E31" s="10"/>
      <c r="F31" s="10"/>
      <c r="G31" s="10"/>
      <c r="H31" s="10">
        <v>7170131</v>
      </c>
      <c r="I31" s="10">
        <v>15156071</v>
      </c>
      <c r="J31" s="10"/>
      <c r="K31" s="10"/>
      <c r="L31" s="10">
        <v>5377899</v>
      </c>
      <c r="M31" s="10">
        <v>10268368</v>
      </c>
      <c r="N31" s="10"/>
      <c r="O31" s="10"/>
      <c r="P31" s="10">
        <v>215652</v>
      </c>
      <c r="Q31" s="10">
        <v>-27969</v>
      </c>
      <c r="R31" s="10"/>
      <c r="S31" s="10"/>
      <c r="T31" s="10"/>
      <c r="U31" s="10"/>
      <c r="V31" s="10">
        <f>3315339+2632193</f>
        <v>5947532</v>
      </c>
      <c r="W31" s="10">
        <f>6521729+5317785</f>
        <v>11839514</v>
      </c>
      <c r="X31" s="10"/>
      <c r="Y31" s="10"/>
      <c r="Z31" s="10">
        <v>9853014</v>
      </c>
      <c r="AA31" s="10">
        <v>20480615</v>
      </c>
      <c r="AB31" s="10">
        <v>6862499</v>
      </c>
      <c r="AC31" s="10">
        <v>12754583</v>
      </c>
      <c r="AD31" s="10">
        <v>447147</v>
      </c>
      <c r="AE31" s="10">
        <v>811763</v>
      </c>
      <c r="AF31" s="10">
        <f>750587+823126</f>
        <v>1573713</v>
      </c>
      <c r="AG31" s="10">
        <f>1278606+1238843</f>
        <v>2517449</v>
      </c>
      <c r="AH31" s="10">
        <v>1577781</v>
      </c>
      <c r="AI31" s="10">
        <v>3404000</v>
      </c>
      <c r="AJ31" s="10"/>
      <c r="AK31" s="10"/>
      <c r="AL31" s="10"/>
      <c r="AM31" s="10"/>
      <c r="AN31" s="10"/>
      <c r="AO31" s="10"/>
      <c r="AP31" s="10">
        <v>138659</v>
      </c>
      <c r="AQ31" s="10">
        <v>254622</v>
      </c>
      <c r="AR31" s="10">
        <f>207087+85226</f>
        <v>292313</v>
      </c>
      <c r="AS31" s="10">
        <f>442518+111418</f>
        <v>553936</v>
      </c>
      <c r="AT31" s="10"/>
      <c r="AU31" s="10"/>
      <c r="AV31" s="10"/>
      <c r="AW31" s="10"/>
      <c r="AX31" s="10">
        <v>4506622</v>
      </c>
      <c r="AY31" s="10">
        <v>7847078</v>
      </c>
      <c r="AZ31" s="10"/>
      <c r="BA31" s="10"/>
      <c r="BB31" s="10"/>
      <c r="BC31" s="10"/>
      <c r="BD31" s="10"/>
      <c r="BE31" s="10"/>
      <c r="BF31" s="10">
        <v>8078025</v>
      </c>
      <c r="BG31" s="10">
        <v>13670924</v>
      </c>
      <c r="BH31" s="10">
        <v>18243527</v>
      </c>
      <c r="BI31" s="10">
        <v>32143291</v>
      </c>
      <c r="BJ31" s="10">
        <v>8373801</v>
      </c>
      <c r="BK31" s="10">
        <v>15587965</v>
      </c>
      <c r="BL31" s="108">
        <v>11862896</v>
      </c>
      <c r="BM31" s="108">
        <v>19747901</v>
      </c>
      <c r="BN31" s="10">
        <f>969974+990794</f>
        <v>1960768</v>
      </c>
      <c r="BO31" s="10">
        <f>1623163+1941002</f>
        <v>3564165</v>
      </c>
      <c r="BP31" s="88">
        <f t="shared" si="4"/>
        <v>92481979</v>
      </c>
      <c r="BQ31" s="88">
        <f t="shared" si="5"/>
        <v>170574276</v>
      </c>
    </row>
    <row r="32" spans="1:69" x14ac:dyDescent="0.25">
      <c r="A32" s="26" t="s">
        <v>276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>
        <v>70819</v>
      </c>
      <c r="U32" s="10">
        <v>93986</v>
      </c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>
        <v>478.339</v>
      </c>
      <c r="AO32" s="10">
        <v>478.339</v>
      </c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>
        <v>-37667</v>
      </c>
      <c r="BK32" s="10">
        <v>-35827</v>
      </c>
      <c r="BL32" s="108">
        <v>-9</v>
      </c>
      <c r="BM32" s="108">
        <v>-11</v>
      </c>
      <c r="BN32" s="10"/>
      <c r="BO32" s="10"/>
      <c r="BP32" s="88">
        <f t="shared" si="4"/>
        <v>33621.339000000007</v>
      </c>
      <c r="BQ32" s="88">
        <f t="shared" si="5"/>
        <v>58626.339000000007</v>
      </c>
    </row>
    <row r="33" spans="1:69" x14ac:dyDescent="0.25">
      <c r="A33" s="26" t="s">
        <v>277</v>
      </c>
      <c r="B33" s="10">
        <v>93624</v>
      </c>
      <c r="C33" s="10">
        <v>143397</v>
      </c>
      <c r="D33" s="10"/>
      <c r="E33" s="10"/>
      <c r="F33" s="10"/>
      <c r="G33" s="10"/>
      <c r="H33" s="10">
        <v>305353</v>
      </c>
      <c r="I33" s="10">
        <v>433752</v>
      </c>
      <c r="J33" s="10">
        <v>102394</v>
      </c>
      <c r="K33" s="10">
        <v>129255</v>
      </c>
      <c r="L33" s="10">
        <v>644189</v>
      </c>
      <c r="M33" s="10">
        <v>962514</v>
      </c>
      <c r="N33" s="10"/>
      <c r="O33" s="10"/>
      <c r="P33" s="10">
        <v>8003</v>
      </c>
      <c r="Q33" s="10">
        <v>-434163</v>
      </c>
      <c r="R33" s="10">
        <v>97271</v>
      </c>
      <c r="S33" s="10">
        <v>118481</v>
      </c>
      <c r="T33" s="10">
        <v>189489</v>
      </c>
      <c r="U33" s="10">
        <v>278118</v>
      </c>
      <c r="V33" s="10"/>
      <c r="W33" s="10"/>
      <c r="X33" s="10"/>
      <c r="Y33" s="10"/>
      <c r="Z33" s="10"/>
      <c r="AA33" s="10"/>
      <c r="AB33" s="10">
        <v>1103421</v>
      </c>
      <c r="AC33" s="10">
        <v>1612317</v>
      </c>
      <c r="AD33" s="10">
        <v>10594</v>
      </c>
      <c r="AE33" s="10">
        <v>14681</v>
      </c>
      <c r="AF33" s="10">
        <f>40294+5450</f>
        <v>45744</v>
      </c>
      <c r="AG33" s="10">
        <f>58486+7481</f>
        <v>65967</v>
      </c>
      <c r="AH33" s="10"/>
      <c r="AI33" s="10"/>
      <c r="AJ33" s="10"/>
      <c r="AK33" s="10"/>
      <c r="AL33" s="10"/>
      <c r="AM33" s="10"/>
      <c r="AN33" s="10">
        <v>1508506.3250000002</v>
      </c>
      <c r="AO33" s="10">
        <v>2266243.0440000002</v>
      </c>
      <c r="AP33" s="10"/>
      <c r="AQ33" s="10"/>
      <c r="AR33" s="10">
        <f>1812+2566</f>
        <v>4378</v>
      </c>
      <c r="AS33" s="10">
        <f>1821+3074</f>
        <v>4895</v>
      </c>
      <c r="AT33" s="10">
        <v>613984</v>
      </c>
      <c r="AU33" s="10">
        <v>915449</v>
      </c>
      <c r="AV33" s="10"/>
      <c r="AW33" s="10"/>
      <c r="AX33" s="10">
        <v>-543380</v>
      </c>
      <c r="AY33" s="10">
        <v>-750136</v>
      </c>
      <c r="AZ33" s="10">
        <v>357416</v>
      </c>
      <c r="BA33" s="10">
        <v>523481</v>
      </c>
      <c r="BB33" s="10">
        <v>93750</v>
      </c>
      <c r="BC33" s="10">
        <v>148365</v>
      </c>
      <c r="BD33" s="10"/>
      <c r="BE33" s="10"/>
      <c r="BF33" s="10">
        <v>1107100</v>
      </c>
      <c r="BG33" s="10">
        <v>1525976</v>
      </c>
      <c r="BH33" s="10"/>
      <c r="BI33" s="10"/>
      <c r="BJ33" s="10">
        <v>344492</v>
      </c>
      <c r="BK33" s="10">
        <v>1033149</v>
      </c>
      <c r="BL33" s="108">
        <v>547113</v>
      </c>
      <c r="BM33" s="108">
        <v>663217</v>
      </c>
      <c r="BN33" s="10">
        <f>11938+46982</f>
        <v>58920</v>
      </c>
      <c r="BO33" s="10">
        <f>64474+13480</f>
        <v>77954</v>
      </c>
      <c r="BP33" s="88">
        <f t="shared" si="4"/>
        <v>6692361.3250000002</v>
      </c>
      <c r="BQ33" s="88">
        <f t="shared" si="5"/>
        <v>9732912.0439999998</v>
      </c>
    </row>
    <row r="34" spans="1:69" x14ac:dyDescent="0.25">
      <c r="A34" s="26" t="s">
        <v>273</v>
      </c>
      <c r="B34" s="10">
        <v>53317</v>
      </c>
      <c r="C34" s="10">
        <v>198475</v>
      </c>
      <c r="D34" s="10"/>
      <c r="E34" s="10"/>
      <c r="F34" s="10"/>
      <c r="G34" s="10"/>
      <c r="H34" s="10">
        <v>6864778</v>
      </c>
      <c r="I34" s="10">
        <v>14722319</v>
      </c>
      <c r="J34" s="10">
        <v>2008555</v>
      </c>
      <c r="K34" s="10">
        <v>4257225</v>
      </c>
      <c r="L34" s="10">
        <v>4733710</v>
      </c>
      <c r="M34" s="10">
        <v>9305854</v>
      </c>
      <c r="N34" s="10"/>
      <c r="O34" s="10"/>
      <c r="P34" s="10">
        <v>207649</v>
      </c>
      <c r="Q34" s="10">
        <v>406194</v>
      </c>
      <c r="R34" s="10">
        <v>1922405</v>
      </c>
      <c r="S34" s="10">
        <v>3793713</v>
      </c>
      <c r="T34" s="10">
        <v>2774651</v>
      </c>
      <c r="U34" s="10">
        <v>5175868</v>
      </c>
      <c r="V34" s="10">
        <f>2120927+2367918</f>
        <v>4488845</v>
      </c>
      <c r="W34" s="10">
        <f>4355843+4581342</f>
        <v>8937185</v>
      </c>
      <c r="X34" s="10"/>
      <c r="Y34" s="10"/>
      <c r="Z34" s="10">
        <v>9085694</v>
      </c>
      <c r="AA34" s="10">
        <v>18726625</v>
      </c>
      <c r="AB34" s="10">
        <v>5759078</v>
      </c>
      <c r="AC34" s="10">
        <v>11142266</v>
      </c>
      <c r="AD34" s="10">
        <v>436553</v>
      </c>
      <c r="AE34" s="10">
        <v>797082</v>
      </c>
      <c r="AF34" s="10">
        <f>714284+783435</f>
        <v>1497719</v>
      </c>
      <c r="AG34" s="10">
        <f>1217196+1172696</f>
        <v>2389892</v>
      </c>
      <c r="AH34" s="10">
        <v>1237745</v>
      </c>
      <c r="AI34" s="10">
        <v>2699322</v>
      </c>
      <c r="AJ34" s="10"/>
      <c r="AK34" s="10"/>
      <c r="AL34" s="10"/>
      <c r="AM34" s="10"/>
      <c r="AN34" s="10">
        <v>9403333.6337071098</v>
      </c>
      <c r="AO34" s="10">
        <v>16655163.179005921</v>
      </c>
      <c r="AP34" s="10">
        <v>131727</v>
      </c>
      <c r="AQ34" s="10">
        <v>241891</v>
      </c>
      <c r="AR34" s="10">
        <f>205275+82660</f>
        <v>287935</v>
      </c>
      <c r="AS34" s="10">
        <f>440697+108344</f>
        <v>549041</v>
      </c>
      <c r="AT34" s="10">
        <v>4018631</v>
      </c>
      <c r="AU34" s="10">
        <v>7642593</v>
      </c>
      <c r="AV34" s="10"/>
      <c r="AW34" s="10"/>
      <c r="AX34" s="10">
        <v>3849170</v>
      </c>
      <c r="AY34" s="10">
        <v>6694915</v>
      </c>
      <c r="AZ34" s="10">
        <v>1788395</v>
      </c>
      <c r="BA34" s="10">
        <v>3927959</v>
      </c>
      <c r="BB34" s="10">
        <v>4740060</v>
      </c>
      <c r="BC34" s="10">
        <v>8291714</v>
      </c>
      <c r="BD34" s="10"/>
      <c r="BE34" s="10"/>
      <c r="BF34" s="10">
        <v>6970925</v>
      </c>
      <c r="BG34" s="10">
        <v>12144948</v>
      </c>
      <c r="BH34" s="10">
        <v>17393307</v>
      </c>
      <c r="BI34" s="10">
        <v>30847570</v>
      </c>
      <c r="BJ34" s="10">
        <v>7991642</v>
      </c>
      <c r="BK34" s="10">
        <v>14518988</v>
      </c>
      <c r="BL34" s="108">
        <v>11315774</v>
      </c>
      <c r="BM34" s="108">
        <v>19084673</v>
      </c>
      <c r="BN34" s="10">
        <f>958036+943812</f>
        <v>1901848</v>
      </c>
      <c r="BO34" s="10">
        <f>1558689+1927522</f>
        <v>3486211</v>
      </c>
      <c r="BP34" s="88" t="e">
        <f>SUM(B34+D34+F34+H34+J34+L34+N34+P34+R34+T34+V34+X34+Z34+AB34+AD34+AF34+AH34+AJ34+AL34+AN34+AP34+AR34+AT34+AV34+#REF!+AZ34+BB34+BD34+BF34+BH34+BJ34+BL34+BN34)</f>
        <v>#REF!</v>
      </c>
      <c r="BQ34" s="88" t="e">
        <f>SUM(C34+E34+G34+I34+K34+M34+O34+Q34+S34+U34+W34+Y34+AA34+AC34+AE34+AG34+AI34+AK34+AM34+AO34+AQ34+AS34+AU34+AW34+#REF!+BA34+BC34+BE34+BG34+BI34+BK34+BM34+BO34)</f>
        <v>#REF!</v>
      </c>
    </row>
    <row r="35" spans="1:69" x14ac:dyDescent="0.25">
      <c r="A35" s="18"/>
    </row>
    <row r="36" spans="1:69" x14ac:dyDescent="0.25">
      <c r="A36" s="33" t="s">
        <v>219</v>
      </c>
    </row>
    <row r="37" spans="1:69" x14ac:dyDescent="0.25">
      <c r="A37" s="3" t="s">
        <v>0</v>
      </c>
      <c r="B37" s="116" t="s">
        <v>1</v>
      </c>
      <c r="C37" s="117"/>
      <c r="D37" s="116" t="s">
        <v>285</v>
      </c>
      <c r="E37" s="117"/>
      <c r="F37" s="116" t="s">
        <v>2</v>
      </c>
      <c r="G37" s="117"/>
      <c r="H37" s="116" t="s">
        <v>3</v>
      </c>
      <c r="I37" s="117"/>
      <c r="J37" s="116" t="s">
        <v>4</v>
      </c>
      <c r="K37" s="117"/>
      <c r="L37" s="116" t="s">
        <v>286</v>
      </c>
      <c r="M37" s="117"/>
      <c r="N37" s="116" t="s">
        <v>6</v>
      </c>
      <c r="O37" s="117"/>
      <c r="P37" s="116" t="s">
        <v>5</v>
      </c>
      <c r="Q37" s="117"/>
      <c r="R37" s="116" t="s">
        <v>7</v>
      </c>
      <c r="S37" s="117"/>
      <c r="T37" s="116" t="s">
        <v>287</v>
      </c>
      <c r="U37" s="117"/>
      <c r="V37" s="116" t="s">
        <v>8</v>
      </c>
      <c r="W37" s="117"/>
      <c r="X37" s="116" t="s">
        <v>288</v>
      </c>
      <c r="Y37" s="117"/>
      <c r="Z37" s="116" t="s">
        <v>9</v>
      </c>
      <c r="AA37" s="117"/>
      <c r="AB37" s="116" t="s">
        <v>10</v>
      </c>
      <c r="AC37" s="117"/>
      <c r="AD37" s="116" t="s">
        <v>289</v>
      </c>
      <c r="AE37" s="117"/>
      <c r="AF37" s="116" t="s">
        <v>11</v>
      </c>
      <c r="AG37" s="117"/>
      <c r="AH37" s="116" t="s">
        <v>12</v>
      </c>
      <c r="AI37" s="117"/>
      <c r="AJ37" s="116" t="s">
        <v>290</v>
      </c>
      <c r="AK37" s="117"/>
      <c r="AL37" s="116" t="s">
        <v>299</v>
      </c>
      <c r="AM37" s="117"/>
      <c r="AN37" s="116" t="s">
        <v>13</v>
      </c>
      <c r="AO37" s="117"/>
      <c r="AP37" s="116" t="s">
        <v>291</v>
      </c>
      <c r="AQ37" s="117"/>
      <c r="AR37" s="116" t="s">
        <v>292</v>
      </c>
      <c r="AS37" s="117"/>
      <c r="AT37" s="116" t="s">
        <v>307</v>
      </c>
      <c r="AU37" s="117"/>
      <c r="AV37" s="116" t="s">
        <v>293</v>
      </c>
      <c r="AW37" s="117"/>
      <c r="AX37" s="116" t="s">
        <v>14</v>
      </c>
      <c r="AY37" s="117"/>
      <c r="AZ37" s="116" t="s">
        <v>15</v>
      </c>
      <c r="BA37" s="117"/>
      <c r="BB37" s="116" t="s">
        <v>16</v>
      </c>
      <c r="BC37" s="117"/>
      <c r="BD37" s="116" t="s">
        <v>17</v>
      </c>
      <c r="BE37" s="117"/>
      <c r="BF37" s="116" t="s">
        <v>18</v>
      </c>
      <c r="BG37" s="117"/>
      <c r="BH37" s="116" t="s">
        <v>294</v>
      </c>
      <c r="BI37" s="117"/>
      <c r="BJ37" s="116" t="s">
        <v>295</v>
      </c>
      <c r="BK37" s="117"/>
      <c r="BL37" s="116" t="s">
        <v>19</v>
      </c>
      <c r="BM37" s="117"/>
      <c r="BN37" s="116" t="s">
        <v>20</v>
      </c>
      <c r="BO37" s="117"/>
      <c r="BP37" s="118" t="s">
        <v>21</v>
      </c>
      <c r="BQ37" s="119"/>
    </row>
    <row r="38" spans="1:69" ht="30" x14ac:dyDescent="0.25">
      <c r="A38" s="3"/>
      <c r="B38" s="67" t="s">
        <v>296</v>
      </c>
      <c r="C38" s="68" t="s">
        <v>297</v>
      </c>
      <c r="D38" s="67" t="s">
        <v>296</v>
      </c>
      <c r="E38" s="68" t="s">
        <v>297</v>
      </c>
      <c r="F38" s="67" t="s">
        <v>296</v>
      </c>
      <c r="G38" s="68" t="s">
        <v>297</v>
      </c>
      <c r="H38" s="67" t="s">
        <v>296</v>
      </c>
      <c r="I38" s="68" t="s">
        <v>297</v>
      </c>
      <c r="J38" s="67" t="s">
        <v>296</v>
      </c>
      <c r="K38" s="68" t="s">
        <v>297</v>
      </c>
      <c r="L38" s="67" t="s">
        <v>296</v>
      </c>
      <c r="M38" s="68" t="s">
        <v>297</v>
      </c>
      <c r="N38" s="67" t="s">
        <v>296</v>
      </c>
      <c r="O38" s="68" t="s">
        <v>297</v>
      </c>
      <c r="P38" s="67" t="s">
        <v>296</v>
      </c>
      <c r="Q38" s="68" t="s">
        <v>297</v>
      </c>
      <c r="R38" s="67" t="s">
        <v>296</v>
      </c>
      <c r="S38" s="68" t="s">
        <v>297</v>
      </c>
      <c r="T38" s="67" t="s">
        <v>296</v>
      </c>
      <c r="U38" s="68" t="s">
        <v>297</v>
      </c>
      <c r="V38" s="67" t="s">
        <v>296</v>
      </c>
      <c r="W38" s="68" t="s">
        <v>297</v>
      </c>
      <c r="X38" s="67" t="s">
        <v>296</v>
      </c>
      <c r="Y38" s="68" t="s">
        <v>297</v>
      </c>
      <c r="Z38" s="67" t="s">
        <v>296</v>
      </c>
      <c r="AA38" s="68" t="s">
        <v>297</v>
      </c>
      <c r="AB38" s="67" t="s">
        <v>296</v>
      </c>
      <c r="AC38" s="68" t="s">
        <v>297</v>
      </c>
      <c r="AD38" s="67" t="s">
        <v>296</v>
      </c>
      <c r="AE38" s="68" t="s">
        <v>297</v>
      </c>
      <c r="AF38" s="67" t="s">
        <v>296</v>
      </c>
      <c r="AG38" s="68" t="s">
        <v>297</v>
      </c>
      <c r="AH38" s="67" t="s">
        <v>296</v>
      </c>
      <c r="AI38" s="68" t="s">
        <v>297</v>
      </c>
      <c r="AJ38" s="67" t="s">
        <v>296</v>
      </c>
      <c r="AK38" s="68" t="s">
        <v>297</v>
      </c>
      <c r="AL38" s="67" t="s">
        <v>296</v>
      </c>
      <c r="AM38" s="68" t="s">
        <v>297</v>
      </c>
      <c r="AN38" s="67" t="s">
        <v>296</v>
      </c>
      <c r="AO38" s="68" t="s">
        <v>297</v>
      </c>
      <c r="AP38" s="67" t="s">
        <v>296</v>
      </c>
      <c r="AQ38" s="68" t="s">
        <v>297</v>
      </c>
      <c r="AR38" s="67" t="s">
        <v>296</v>
      </c>
      <c r="AS38" s="68" t="s">
        <v>297</v>
      </c>
      <c r="AT38" s="67" t="s">
        <v>296</v>
      </c>
      <c r="AU38" s="68" t="s">
        <v>297</v>
      </c>
      <c r="AV38" s="67" t="s">
        <v>296</v>
      </c>
      <c r="AW38" s="68" t="s">
        <v>297</v>
      </c>
      <c r="AX38" s="67" t="s">
        <v>296</v>
      </c>
      <c r="AY38" s="68" t="s">
        <v>297</v>
      </c>
      <c r="AZ38" s="67" t="s">
        <v>296</v>
      </c>
      <c r="BA38" s="68" t="s">
        <v>297</v>
      </c>
      <c r="BB38" s="67" t="s">
        <v>296</v>
      </c>
      <c r="BC38" s="68" t="s">
        <v>297</v>
      </c>
      <c r="BD38" s="67" t="s">
        <v>296</v>
      </c>
      <c r="BE38" s="68" t="s">
        <v>297</v>
      </c>
      <c r="BF38" s="67" t="s">
        <v>296</v>
      </c>
      <c r="BG38" s="68" t="s">
        <v>297</v>
      </c>
      <c r="BH38" s="67" t="s">
        <v>296</v>
      </c>
      <c r="BI38" s="68" t="s">
        <v>297</v>
      </c>
      <c r="BJ38" s="67" t="s">
        <v>296</v>
      </c>
      <c r="BK38" s="68" t="s">
        <v>297</v>
      </c>
      <c r="BL38" s="67" t="s">
        <v>296</v>
      </c>
      <c r="BM38" s="68" t="s">
        <v>297</v>
      </c>
      <c r="BN38" s="67" t="s">
        <v>296</v>
      </c>
      <c r="BO38" s="68" t="s">
        <v>297</v>
      </c>
      <c r="BP38" s="84" t="s">
        <v>280</v>
      </c>
      <c r="BQ38" s="85" t="s">
        <v>281</v>
      </c>
    </row>
    <row r="39" spans="1:69" x14ac:dyDescent="0.25">
      <c r="A39" s="26" t="s">
        <v>228</v>
      </c>
      <c r="B39" s="10"/>
      <c r="C39" s="10"/>
      <c r="D39" s="10"/>
      <c r="E39" s="10"/>
      <c r="F39" s="10"/>
      <c r="G39" s="10"/>
      <c r="H39" s="10">
        <v>100846</v>
      </c>
      <c r="I39" s="10">
        <v>198845</v>
      </c>
      <c r="J39" s="10">
        <v>11338</v>
      </c>
      <c r="K39" s="10">
        <v>24065</v>
      </c>
      <c r="L39" s="10">
        <v>13060</v>
      </c>
      <c r="M39" s="10">
        <v>24735</v>
      </c>
      <c r="N39" s="10"/>
      <c r="O39" s="10"/>
      <c r="P39" s="10"/>
      <c r="Q39" s="10"/>
      <c r="R39" s="10">
        <v>26255</v>
      </c>
      <c r="S39" s="10">
        <v>42850</v>
      </c>
      <c r="T39" s="10">
        <v>605</v>
      </c>
      <c r="U39" s="10">
        <v>605</v>
      </c>
      <c r="V39" s="10">
        <v>199599</v>
      </c>
      <c r="W39" s="10">
        <v>309129</v>
      </c>
      <c r="X39" s="10"/>
      <c r="Y39" s="10"/>
      <c r="Z39" s="10">
        <v>342302</v>
      </c>
      <c r="AA39" s="10">
        <v>778597</v>
      </c>
      <c r="AB39" s="10">
        <v>95750</v>
      </c>
      <c r="AC39" s="10">
        <v>230241</v>
      </c>
      <c r="AD39" s="10"/>
      <c r="AE39" s="10">
        <v>329</v>
      </c>
      <c r="AF39" s="10">
        <v>31760</v>
      </c>
      <c r="AG39" s="10">
        <v>64043</v>
      </c>
      <c r="AH39" s="10">
        <v>650</v>
      </c>
      <c r="AI39" s="10">
        <v>18213</v>
      </c>
      <c r="AJ39" s="10"/>
      <c r="AK39" s="10"/>
      <c r="AL39" s="10"/>
      <c r="AM39" s="10"/>
      <c r="AN39" s="10">
        <v>167008.75599999999</v>
      </c>
      <c r="AO39" s="10">
        <v>297074.092</v>
      </c>
      <c r="AP39" s="10"/>
      <c r="AQ39" s="10"/>
      <c r="AR39" s="10">
        <v>0</v>
      </c>
      <c r="AS39" s="10">
        <v>0</v>
      </c>
      <c r="AT39" s="10">
        <v>99053</v>
      </c>
      <c r="AU39" s="10">
        <v>948240</v>
      </c>
      <c r="AV39" s="10"/>
      <c r="AW39" s="10"/>
      <c r="AX39" s="10">
        <v>31969</v>
      </c>
      <c r="AY39" s="10">
        <v>81745</v>
      </c>
      <c r="AZ39" s="10">
        <v>20347</v>
      </c>
      <c r="BA39" s="10">
        <v>34852</v>
      </c>
      <c r="BB39" s="10">
        <v>43232</v>
      </c>
      <c r="BC39" s="10">
        <v>48282</v>
      </c>
      <c r="BD39" s="10"/>
      <c r="BE39" s="10"/>
      <c r="BF39" s="10">
        <v>35577</v>
      </c>
      <c r="BG39" s="10">
        <v>65946</v>
      </c>
      <c r="BH39" s="10">
        <v>532264</v>
      </c>
      <c r="BI39" s="10">
        <v>1283598</v>
      </c>
      <c r="BJ39" s="10">
        <v>176278</v>
      </c>
      <c r="BK39" s="10">
        <v>282013</v>
      </c>
      <c r="BL39" s="108">
        <v>292627</v>
      </c>
      <c r="BM39" s="108">
        <v>553560</v>
      </c>
      <c r="BN39" s="10">
        <v>7787</v>
      </c>
      <c r="BO39" s="10">
        <v>8693</v>
      </c>
      <c r="BP39" s="88">
        <f t="shared" ref="BP39:BP41" si="6">SUM(B39+D39+F39+H39+J39+L39+N39+P39+R39+T39+V39+X39+Z39+AB39+AD39+AF39+AH39+AJ39+AL39+AN39+AP39+AR39+AT39+AV39+AX39+AZ39+BB39+BD39+BF39+BH39+BJ39+BL39+BN39)</f>
        <v>2228307.7560000001</v>
      </c>
      <c r="BQ39" s="88">
        <f t="shared" ref="BQ39:BQ41" si="7">SUM(C39+E39+G39+I39+K39+M39+O39+Q39+S39+U39+W39+Y39+AA39+AC39+AE39+AG39+AI39+AK39+AM39+AO39+AQ39+AS39+AU39+AW39+AY39+BA39+BC39+BE39+BG39+BI39+BK39+BM39+BO39)</f>
        <v>5295655.0920000002</v>
      </c>
    </row>
    <row r="40" spans="1:69" x14ac:dyDescent="0.25">
      <c r="A40" s="26" t="s">
        <v>279</v>
      </c>
      <c r="B40" s="10"/>
      <c r="C40" s="10"/>
      <c r="D40" s="10"/>
      <c r="E40" s="10"/>
      <c r="F40" s="10"/>
      <c r="G40" s="10"/>
      <c r="H40" s="10">
        <v>-24706</v>
      </c>
      <c r="I40" s="10">
        <v>270806</v>
      </c>
      <c r="J40" s="10">
        <v>-311</v>
      </c>
      <c r="K40" s="10">
        <v>127365</v>
      </c>
      <c r="L40" s="10">
        <v>75723</v>
      </c>
      <c r="M40" s="10">
        <v>75723</v>
      </c>
      <c r="N40" s="10"/>
      <c r="O40" s="10"/>
      <c r="P40" s="10">
        <v>1914</v>
      </c>
      <c r="Q40" s="10">
        <v>1914</v>
      </c>
      <c r="R40" s="10">
        <v>103972</v>
      </c>
      <c r="S40" s="10">
        <v>103972</v>
      </c>
      <c r="T40" s="10">
        <v>11834</v>
      </c>
      <c r="U40" s="10">
        <v>11834</v>
      </c>
      <c r="V40" s="10">
        <v>3396489</v>
      </c>
      <c r="W40" s="10">
        <v>3396489</v>
      </c>
      <c r="X40" s="10"/>
      <c r="Y40" s="10"/>
      <c r="Z40" s="10">
        <v>4202357</v>
      </c>
      <c r="AA40" s="10">
        <v>4202357</v>
      </c>
      <c r="AB40" s="10">
        <v>-3442</v>
      </c>
      <c r="AC40" s="10">
        <v>218940</v>
      </c>
      <c r="AD40" s="10">
        <v>1124</v>
      </c>
      <c r="AE40" s="10">
        <v>1124</v>
      </c>
      <c r="AF40" s="10">
        <v>186063</v>
      </c>
      <c r="AG40" s="10">
        <v>186063</v>
      </c>
      <c r="AH40" s="10">
        <v>117572</v>
      </c>
      <c r="AI40" s="10">
        <v>117572</v>
      </c>
      <c r="AJ40" s="10"/>
      <c r="AK40" s="10"/>
      <c r="AL40" s="10"/>
      <c r="AM40" s="10"/>
      <c r="AN40" s="10">
        <v>-166331.4039701373</v>
      </c>
      <c r="AO40" s="10">
        <v>3002658.2276814575</v>
      </c>
      <c r="AP40" s="10">
        <v>4772</v>
      </c>
      <c r="AQ40" s="10">
        <v>4772</v>
      </c>
      <c r="AR40" s="10">
        <v>424</v>
      </c>
      <c r="AS40" s="10">
        <v>1527</v>
      </c>
      <c r="AT40" s="10">
        <v>345873</v>
      </c>
      <c r="AU40" s="10">
        <v>345873</v>
      </c>
      <c r="AV40" s="10"/>
      <c r="AW40" s="10"/>
      <c r="AX40" s="10">
        <v>-114973</v>
      </c>
      <c r="AY40" s="10">
        <v>775121</v>
      </c>
      <c r="AZ40" s="10">
        <v>134655</v>
      </c>
      <c r="BA40" s="10">
        <v>134655</v>
      </c>
      <c r="BB40" s="10">
        <v>127535</v>
      </c>
      <c r="BC40" s="10">
        <v>127535</v>
      </c>
      <c r="BD40" s="10"/>
      <c r="BE40" s="10"/>
      <c r="BF40" s="10">
        <v>104186</v>
      </c>
      <c r="BG40" s="10">
        <v>104186</v>
      </c>
      <c r="BH40" s="10">
        <v>10495364</v>
      </c>
      <c r="BI40" s="10">
        <v>10495364</v>
      </c>
      <c r="BJ40" s="10">
        <v>484612</v>
      </c>
      <c r="BK40" s="10">
        <v>4255899</v>
      </c>
      <c r="BL40" s="108">
        <v>13054900</v>
      </c>
      <c r="BM40" s="108">
        <v>13054900</v>
      </c>
      <c r="BN40" s="10">
        <v>14675</v>
      </c>
      <c r="BO40" s="10">
        <v>59405</v>
      </c>
      <c r="BP40" s="88">
        <f t="shared" si="6"/>
        <v>32554280.596029863</v>
      </c>
      <c r="BQ40" s="88">
        <f t="shared" si="7"/>
        <v>41076054.227681458</v>
      </c>
    </row>
    <row r="41" spans="1:69" x14ac:dyDescent="0.25">
      <c r="A41" s="26" t="s">
        <v>278</v>
      </c>
      <c r="B41" s="10"/>
      <c r="C41" s="10"/>
      <c r="D41" s="10"/>
      <c r="E41" s="10"/>
      <c r="F41" s="10"/>
      <c r="G41" s="10"/>
      <c r="H41" s="10"/>
      <c r="I41" s="10">
        <v>252860</v>
      </c>
      <c r="J41" s="10"/>
      <c r="K41" s="10">
        <v>111065</v>
      </c>
      <c r="L41" s="10">
        <v>52500</v>
      </c>
      <c r="M41" s="10">
        <v>55282</v>
      </c>
      <c r="N41" s="10"/>
      <c r="O41" s="10"/>
      <c r="P41" s="10">
        <v>719</v>
      </c>
      <c r="Q41" s="10">
        <v>5968</v>
      </c>
      <c r="R41" s="10">
        <v>102387</v>
      </c>
      <c r="S41" s="10">
        <v>106996</v>
      </c>
      <c r="T41" s="10">
        <v>5938</v>
      </c>
      <c r="U41" s="10">
        <v>6542</v>
      </c>
      <c r="V41" s="10">
        <v>-3171956</v>
      </c>
      <c r="W41" s="10">
        <v>-2310386</v>
      </c>
      <c r="X41" s="10"/>
      <c r="Y41" s="10"/>
      <c r="Z41" s="10">
        <v>4183426</v>
      </c>
      <c r="AA41" s="10">
        <v>4066522</v>
      </c>
      <c r="AB41" s="10"/>
      <c r="AC41" s="10">
        <v>216850</v>
      </c>
      <c r="AD41" s="10">
        <v>1066</v>
      </c>
      <c r="AE41" s="10">
        <v>1023</v>
      </c>
      <c r="AF41" s="10">
        <v>183688</v>
      </c>
      <c r="AG41" s="10">
        <v>190822</v>
      </c>
      <c r="AH41" s="10">
        <v>-99665</v>
      </c>
      <c r="AI41" s="10">
        <v>-106889</v>
      </c>
      <c r="AJ41" s="10"/>
      <c r="AK41" s="10"/>
      <c r="AL41" s="10"/>
      <c r="AM41" s="10"/>
      <c r="AN41" s="10"/>
      <c r="AO41" s="10">
        <v>3093729.2790000001</v>
      </c>
      <c r="AP41" s="10">
        <v>-4311</v>
      </c>
      <c r="AQ41" s="10">
        <v>-3845</v>
      </c>
      <c r="AR41" s="10"/>
      <c r="AS41" s="10">
        <v>870</v>
      </c>
      <c r="AT41" s="10">
        <v>358754</v>
      </c>
      <c r="AU41" s="10">
        <v>416962</v>
      </c>
      <c r="AV41" s="10"/>
      <c r="AW41" s="10"/>
      <c r="AX41" s="10"/>
      <c r="AY41" s="10">
        <v>-837333</v>
      </c>
      <c r="AZ41" s="10">
        <v>112766</v>
      </c>
      <c r="BA41" s="10">
        <v>92842</v>
      </c>
      <c r="BB41" s="10">
        <v>145854</v>
      </c>
      <c r="BC41" s="10">
        <v>110665</v>
      </c>
      <c r="BD41" s="10"/>
      <c r="BE41" s="10"/>
      <c r="BF41" s="10">
        <v>125512</v>
      </c>
      <c r="BG41" s="10">
        <v>92390</v>
      </c>
      <c r="BH41" s="10">
        <v>8462471</v>
      </c>
      <c r="BI41" s="10">
        <v>8404933</v>
      </c>
      <c r="BJ41" s="10">
        <v>0</v>
      </c>
      <c r="BK41" s="10">
        <v>3738344</v>
      </c>
      <c r="BL41" s="108">
        <v>11707225</v>
      </c>
      <c r="BM41" s="108">
        <v>11553793</v>
      </c>
      <c r="BN41" s="10"/>
      <c r="BO41" s="10">
        <v>43219</v>
      </c>
      <c r="BP41" s="88">
        <f t="shared" si="6"/>
        <v>22166374</v>
      </c>
      <c r="BQ41" s="88">
        <f t="shared" si="7"/>
        <v>29303224.278999999</v>
      </c>
    </row>
    <row r="42" spans="1:69" x14ac:dyDescent="0.25">
      <c r="A42" s="26" t="s">
        <v>284</v>
      </c>
      <c r="B42" s="10"/>
      <c r="C42" s="10"/>
      <c r="D42" s="10"/>
      <c r="E42" s="10"/>
      <c r="F42" s="10"/>
      <c r="G42" s="10"/>
      <c r="H42" s="10">
        <v>76140</v>
      </c>
      <c r="I42" s="10">
        <v>216791</v>
      </c>
      <c r="J42" s="10"/>
      <c r="K42" s="10"/>
      <c r="L42" s="10">
        <v>36283</v>
      </c>
      <c r="M42" s="10">
        <v>45176</v>
      </c>
      <c r="N42" s="10"/>
      <c r="O42" s="10"/>
      <c r="P42" s="10">
        <v>1195</v>
      </c>
      <c r="Q42" s="10">
        <v>-4054</v>
      </c>
      <c r="R42" s="10"/>
      <c r="S42" s="10"/>
      <c r="T42" s="10"/>
      <c r="U42" s="10"/>
      <c r="V42" s="10">
        <v>424132</v>
      </c>
      <c r="W42" s="10">
        <v>1395232</v>
      </c>
      <c r="X42" s="10"/>
      <c r="Y42" s="10"/>
      <c r="Z42" s="10">
        <v>361233</v>
      </c>
      <c r="AA42" s="10">
        <v>914432</v>
      </c>
      <c r="AB42" s="10">
        <v>92308</v>
      </c>
      <c r="AC42" s="10">
        <v>232331</v>
      </c>
      <c r="AD42" s="10">
        <v>58</v>
      </c>
      <c r="AE42" s="10">
        <v>430</v>
      </c>
      <c r="AF42" s="10">
        <v>34135</v>
      </c>
      <c r="AG42" s="10">
        <v>59284</v>
      </c>
      <c r="AH42" s="10">
        <v>18557</v>
      </c>
      <c r="AI42" s="10">
        <v>28896</v>
      </c>
      <c r="AJ42" s="10"/>
      <c r="AK42" s="10"/>
      <c r="AL42" s="10"/>
      <c r="AM42" s="10"/>
      <c r="AN42" s="10"/>
      <c r="AO42" s="10"/>
      <c r="AP42" s="10">
        <v>460</v>
      </c>
      <c r="AQ42" s="10">
        <v>927</v>
      </c>
      <c r="AR42" s="10">
        <v>424</v>
      </c>
      <c r="AS42" s="10">
        <v>657</v>
      </c>
      <c r="AT42" s="10"/>
      <c r="AU42" s="10"/>
      <c r="AV42" s="10"/>
      <c r="AW42" s="10"/>
      <c r="AX42" s="10">
        <v>-83004</v>
      </c>
      <c r="AY42" s="10">
        <v>19533</v>
      </c>
      <c r="AZ42" s="10"/>
      <c r="BA42" s="10"/>
      <c r="BB42" s="10"/>
      <c r="BC42" s="10"/>
      <c r="BD42" s="10"/>
      <c r="BE42" s="10"/>
      <c r="BF42" s="10">
        <v>14251</v>
      </c>
      <c r="BG42" s="10">
        <v>77742</v>
      </c>
      <c r="BH42" s="10">
        <v>2565157</v>
      </c>
      <c r="BI42" s="10">
        <v>3374028</v>
      </c>
      <c r="BJ42" s="10">
        <v>660890</v>
      </c>
      <c r="BK42" s="10">
        <v>799568</v>
      </c>
      <c r="BL42" s="108">
        <v>1640302</v>
      </c>
      <c r="BM42" s="108">
        <v>2054667</v>
      </c>
      <c r="BN42" s="10">
        <v>22462</v>
      </c>
      <c r="BO42" s="10">
        <v>24879</v>
      </c>
      <c r="BP42" s="88">
        <f t="shared" ref="BP42:BQ44" si="8">SUM(B42+D42+F42+H42+J42+L42+N42+P42+R42+T42+V42+X42+Z42+AB42+AD42+AF42+AH42+AJ42+AL42+AN42+AP42+AR42+AT42+AV42+AX42+AZ42+BB42+BD42+BF42+BH42+BJ42+BL42+BN42)</f>
        <v>5864983</v>
      </c>
      <c r="BQ42" s="88">
        <f t="shared" si="8"/>
        <v>9240519</v>
      </c>
    </row>
    <row r="43" spans="1:69" x14ac:dyDescent="0.25">
      <c r="A43" s="26" t="s">
        <v>276</v>
      </c>
      <c r="B43" s="10"/>
      <c r="C43" s="10"/>
      <c r="D43" s="10"/>
      <c r="E43" s="10"/>
      <c r="F43" s="10"/>
      <c r="G43" s="10"/>
      <c r="H43" s="10">
        <v>3571</v>
      </c>
      <c r="I43" s="10">
        <v>3789</v>
      </c>
      <c r="J43" s="10">
        <v>1575</v>
      </c>
      <c r="K43" s="10">
        <v>1893</v>
      </c>
      <c r="L43" s="10">
        <v>-9</v>
      </c>
      <c r="M43" s="10">
        <v>65</v>
      </c>
      <c r="N43" s="10"/>
      <c r="O43" s="10"/>
      <c r="P43" s="10">
        <v>-3</v>
      </c>
      <c r="Q43" s="10">
        <v>17</v>
      </c>
      <c r="R43" s="10">
        <v>689</v>
      </c>
      <c r="S43" s="10">
        <v>1065</v>
      </c>
      <c r="T43" s="10">
        <v>-19</v>
      </c>
      <c r="U43" s="10">
        <v>1</v>
      </c>
      <c r="V43" s="10">
        <v>4576</v>
      </c>
      <c r="W43" s="10">
        <v>4607</v>
      </c>
      <c r="X43" s="10"/>
      <c r="Y43" s="10"/>
      <c r="Z43" s="10"/>
      <c r="AA43" s="10"/>
      <c r="AB43" s="10">
        <v>436</v>
      </c>
      <c r="AC43" s="10">
        <v>1636</v>
      </c>
      <c r="AD43" s="10">
        <v>-3</v>
      </c>
      <c r="AE43" s="10">
        <v>17</v>
      </c>
      <c r="AF43" s="10">
        <v>16</v>
      </c>
      <c r="AG43" s="10">
        <v>35</v>
      </c>
      <c r="AH43" s="10"/>
      <c r="AI43" s="10"/>
      <c r="AJ43" s="10"/>
      <c r="AK43" s="10"/>
      <c r="AL43" s="10"/>
      <c r="AM43" s="10"/>
      <c r="AN43" s="10">
        <v>17511.684000000001</v>
      </c>
      <c r="AO43" s="10">
        <v>69050.425000000003</v>
      </c>
      <c r="AP43" s="10"/>
      <c r="AQ43" s="10"/>
      <c r="AR43" s="10">
        <v>2</v>
      </c>
      <c r="AS43" s="10">
        <v>2</v>
      </c>
      <c r="AT43" s="10">
        <v>1446</v>
      </c>
      <c r="AU43" s="10">
        <v>1527</v>
      </c>
      <c r="AV43" s="10"/>
      <c r="AW43" s="10"/>
      <c r="AX43" s="10">
        <v>94</v>
      </c>
      <c r="AY43" s="10">
        <v>715</v>
      </c>
      <c r="AZ43" s="10">
        <v>-6</v>
      </c>
      <c r="BA43" s="10">
        <v>26</v>
      </c>
      <c r="BB43" s="10">
        <v>15</v>
      </c>
      <c r="BC43" s="10">
        <v>57</v>
      </c>
      <c r="BD43" s="10"/>
      <c r="BE43" s="10"/>
      <c r="BF43" s="10">
        <v>23</v>
      </c>
      <c r="BG43" s="10">
        <v>14253</v>
      </c>
      <c r="BH43" s="10"/>
      <c r="BI43" s="10"/>
      <c r="BJ43" s="10">
        <v>668659</v>
      </c>
      <c r="BK43" s="10">
        <v>672668</v>
      </c>
      <c r="BL43" s="108">
        <v>-8577</v>
      </c>
      <c r="BM43" s="108">
        <v>-55256</v>
      </c>
      <c r="BN43" s="10">
        <v>8</v>
      </c>
      <c r="BO43" s="10">
        <v>17</v>
      </c>
      <c r="BP43" s="88">
        <f t="shared" si="8"/>
        <v>690004.68400000001</v>
      </c>
      <c r="BQ43" s="88">
        <f t="shared" si="8"/>
        <v>716184.42500000005</v>
      </c>
    </row>
    <row r="44" spans="1:69" x14ac:dyDescent="0.25">
      <c r="A44" s="26" t="s">
        <v>277</v>
      </c>
      <c r="B44" s="10"/>
      <c r="C44" s="10"/>
      <c r="D44" s="10"/>
      <c r="E44" s="10"/>
      <c r="F44" s="10"/>
      <c r="G44" s="10"/>
      <c r="H44" s="10">
        <v>84043</v>
      </c>
      <c r="I44" s="10">
        <v>158059</v>
      </c>
      <c r="J44" s="10">
        <v>7287</v>
      </c>
      <c r="K44" s="10">
        <v>15939</v>
      </c>
      <c r="L44" s="10">
        <v>3656</v>
      </c>
      <c r="M44" s="10">
        <v>6179</v>
      </c>
      <c r="N44" s="10"/>
      <c r="O44" s="10"/>
      <c r="P44" s="10">
        <v>325</v>
      </c>
      <c r="Q44" s="10">
        <v>-5494</v>
      </c>
      <c r="R44" s="10">
        <v>23117</v>
      </c>
      <c r="S44" s="10">
        <v>36866</v>
      </c>
      <c r="T44" s="10">
        <v>535</v>
      </c>
      <c r="U44" s="10">
        <v>535</v>
      </c>
      <c r="V44" s="10"/>
      <c r="W44" s="10"/>
      <c r="X44" s="10"/>
      <c r="Y44" s="10"/>
      <c r="Z44" s="10"/>
      <c r="AA44" s="10"/>
      <c r="AB44" s="10">
        <v>63544</v>
      </c>
      <c r="AC44" s="10">
        <v>169958</v>
      </c>
      <c r="AD44" s="10"/>
      <c r="AE44" s="10">
        <v>260</v>
      </c>
      <c r="AF44" s="10">
        <v>19782</v>
      </c>
      <c r="AG44" s="10">
        <v>42181</v>
      </c>
      <c r="AH44" s="10"/>
      <c r="AI44" s="10"/>
      <c r="AJ44" s="10"/>
      <c r="AK44" s="10"/>
      <c r="AL44" s="10"/>
      <c r="AM44" s="10"/>
      <c r="AN44" s="10">
        <v>34750.561999999998</v>
      </c>
      <c r="AO44" s="10">
        <v>7868.79</v>
      </c>
      <c r="AP44" s="10"/>
      <c r="AQ44" s="10"/>
      <c r="AR44" s="10">
        <v>0</v>
      </c>
      <c r="AS44" s="10">
        <v>0</v>
      </c>
      <c r="AT44" s="10">
        <v>57391</v>
      </c>
      <c r="AU44" s="10">
        <v>840444</v>
      </c>
      <c r="AV44" s="10"/>
      <c r="AW44" s="10"/>
      <c r="AX44" s="10">
        <v>-26886</v>
      </c>
      <c r="AY44" s="10">
        <v>-73417</v>
      </c>
      <c r="AZ44" s="10">
        <v>7619</v>
      </c>
      <c r="BA44" s="10">
        <v>10150</v>
      </c>
      <c r="BB44" s="10">
        <v>17599</v>
      </c>
      <c r="BC44" s="10">
        <v>18285</v>
      </c>
      <c r="BD44" s="10"/>
      <c r="BE44" s="10"/>
      <c r="BF44" s="10">
        <v>31879</v>
      </c>
      <c r="BG44" s="10">
        <v>72577</v>
      </c>
      <c r="BH44" s="10"/>
      <c r="BI44" s="10"/>
      <c r="BJ44" s="10">
        <v>219852</v>
      </c>
      <c r="BK44" s="10">
        <v>256345</v>
      </c>
      <c r="BL44" s="108">
        <v>710996</v>
      </c>
      <c r="BM44" s="108">
        <v>861247</v>
      </c>
      <c r="BN44" s="10">
        <v>1321</v>
      </c>
      <c r="BO44" s="10">
        <v>2013</v>
      </c>
      <c r="BP44" s="88">
        <f t="shared" si="8"/>
        <v>1256810.5619999999</v>
      </c>
      <c r="BQ44" s="88">
        <f t="shared" si="8"/>
        <v>2419995.79</v>
      </c>
    </row>
    <row r="45" spans="1:69" x14ac:dyDescent="0.25">
      <c r="A45" s="26" t="s">
        <v>273</v>
      </c>
      <c r="B45" s="10"/>
      <c r="C45" s="10"/>
      <c r="D45" s="10"/>
      <c r="E45" s="10"/>
      <c r="F45" s="10"/>
      <c r="G45" s="10"/>
      <c r="H45" s="10">
        <v>-4332</v>
      </c>
      <c r="I45" s="10">
        <v>62521</v>
      </c>
      <c r="J45" s="10">
        <v>5315</v>
      </c>
      <c r="K45" s="10">
        <v>26319</v>
      </c>
      <c r="L45" s="10">
        <v>32618</v>
      </c>
      <c r="M45" s="10">
        <v>39062</v>
      </c>
      <c r="N45" s="10"/>
      <c r="O45" s="10"/>
      <c r="P45" s="10">
        <v>867</v>
      </c>
      <c r="Q45" s="10">
        <v>1457</v>
      </c>
      <c r="R45" s="10">
        <v>5413</v>
      </c>
      <c r="S45" s="10">
        <v>4025</v>
      </c>
      <c r="T45" s="10">
        <v>5946</v>
      </c>
      <c r="U45" s="10">
        <v>5363</v>
      </c>
      <c r="V45" s="10">
        <v>189011</v>
      </c>
      <c r="W45" s="10">
        <v>400625</v>
      </c>
      <c r="X45" s="10"/>
      <c r="Y45" s="10"/>
      <c r="Z45" s="10">
        <v>262590</v>
      </c>
      <c r="AA45" s="10">
        <v>456418</v>
      </c>
      <c r="AB45" s="10">
        <v>29200</v>
      </c>
      <c r="AC45" s="10">
        <v>64009</v>
      </c>
      <c r="AD45" s="10">
        <v>55</v>
      </c>
      <c r="AE45" s="10">
        <v>187</v>
      </c>
      <c r="AF45" s="10">
        <v>13421</v>
      </c>
      <c r="AG45" s="10">
        <v>19131</v>
      </c>
      <c r="AH45" s="10">
        <v>3364</v>
      </c>
      <c r="AI45" s="10">
        <v>3872</v>
      </c>
      <c r="AJ45" s="10"/>
      <c r="AK45" s="10"/>
      <c r="AL45" s="10"/>
      <c r="AM45" s="10"/>
      <c r="AN45" s="10">
        <v>-16561.5259701373</v>
      </c>
      <c r="AO45" s="10">
        <v>267184.67568145739</v>
      </c>
      <c r="AP45" s="10">
        <v>11</v>
      </c>
      <c r="AQ45" s="10">
        <v>38</v>
      </c>
      <c r="AR45" s="10">
        <v>425</v>
      </c>
      <c r="AS45" s="10">
        <v>659</v>
      </c>
      <c r="AT45" s="10">
        <v>30227</v>
      </c>
      <c r="AU45" s="10">
        <v>38234</v>
      </c>
      <c r="AV45" s="10"/>
      <c r="AW45" s="10"/>
      <c r="AX45" s="10">
        <v>3504</v>
      </c>
      <c r="AY45" s="10">
        <v>26061</v>
      </c>
      <c r="AZ45" s="10">
        <v>34611</v>
      </c>
      <c r="BA45" s="10">
        <v>66541</v>
      </c>
      <c r="BB45" s="10">
        <v>7330</v>
      </c>
      <c r="BC45" s="10">
        <v>46925</v>
      </c>
      <c r="BD45" s="10"/>
      <c r="BE45" s="10"/>
      <c r="BF45" s="10">
        <v>-17605</v>
      </c>
      <c r="BG45" s="10">
        <v>19418</v>
      </c>
      <c r="BH45" s="10">
        <v>2807632</v>
      </c>
      <c r="BI45" s="10">
        <v>3600656</v>
      </c>
      <c r="BJ45" s="10">
        <v>1109697</v>
      </c>
      <c r="BK45" s="10">
        <v>1215891</v>
      </c>
      <c r="BL45" s="108">
        <v>920729</v>
      </c>
      <c r="BM45" s="108">
        <v>1138164</v>
      </c>
      <c r="BN45" s="10">
        <v>21149</v>
      </c>
      <c r="BO45" s="10">
        <v>22883</v>
      </c>
      <c r="BP45" s="88" t="e">
        <f>SUM(B45+D45+F45+H45+J45+L45+N45+P45+R45+T45+V45+X45+Z45+AB45+AD45+AF45+AH45+AJ45+AL45+AN45+AP45+AR45+AT45+AV45+#REF!+AZ45+BB45+BD45+BF45+BH45+BJ45+BL45+BN45)</f>
        <v>#REF!</v>
      </c>
      <c r="BQ45" s="88" t="e">
        <f>SUM(C45+E45+G45+I45+K45+M45+O45+Q45+S45+U45+W45+Y45+AA45+AC45+AE45+AG45+AI45+AK45+AM45+AO45+AQ45+AS45+AU45+AW45+#REF!+BA45+BC45+BE45+BG45+BI45+BK45+BM45+BO45)</f>
        <v>#REF!</v>
      </c>
    </row>
    <row r="46" spans="1:69" x14ac:dyDescent="0.25">
      <c r="A46" s="34"/>
    </row>
    <row r="47" spans="1:69" x14ac:dyDescent="0.25">
      <c r="A47" s="35" t="s">
        <v>220</v>
      </c>
    </row>
    <row r="48" spans="1:69" x14ac:dyDescent="0.25">
      <c r="A48" s="3" t="s">
        <v>0</v>
      </c>
      <c r="B48" s="116" t="s">
        <v>1</v>
      </c>
      <c r="C48" s="117"/>
      <c r="D48" s="116" t="s">
        <v>285</v>
      </c>
      <c r="E48" s="117"/>
      <c r="F48" s="116" t="s">
        <v>2</v>
      </c>
      <c r="G48" s="117"/>
      <c r="H48" s="116" t="s">
        <v>3</v>
      </c>
      <c r="I48" s="117"/>
      <c r="J48" s="116" t="s">
        <v>4</v>
      </c>
      <c r="K48" s="117"/>
      <c r="L48" s="116" t="s">
        <v>286</v>
      </c>
      <c r="M48" s="117"/>
      <c r="N48" s="116" t="s">
        <v>6</v>
      </c>
      <c r="O48" s="117"/>
      <c r="P48" s="116" t="s">
        <v>5</v>
      </c>
      <c r="Q48" s="117"/>
      <c r="R48" s="116" t="s">
        <v>7</v>
      </c>
      <c r="S48" s="117"/>
      <c r="T48" s="116" t="s">
        <v>287</v>
      </c>
      <c r="U48" s="117"/>
      <c r="V48" s="116" t="s">
        <v>8</v>
      </c>
      <c r="W48" s="117"/>
      <c r="X48" s="116" t="s">
        <v>288</v>
      </c>
      <c r="Y48" s="117"/>
      <c r="Z48" s="116" t="s">
        <v>9</v>
      </c>
      <c r="AA48" s="117"/>
      <c r="AB48" s="116" t="s">
        <v>10</v>
      </c>
      <c r="AC48" s="117"/>
      <c r="AD48" s="116" t="s">
        <v>289</v>
      </c>
      <c r="AE48" s="117"/>
      <c r="AF48" s="116" t="s">
        <v>11</v>
      </c>
      <c r="AG48" s="117"/>
      <c r="AH48" s="116" t="s">
        <v>12</v>
      </c>
      <c r="AI48" s="117"/>
      <c r="AJ48" s="116" t="s">
        <v>290</v>
      </c>
      <c r="AK48" s="117"/>
      <c r="AL48" s="116" t="s">
        <v>299</v>
      </c>
      <c r="AM48" s="117"/>
      <c r="AN48" s="116" t="s">
        <v>13</v>
      </c>
      <c r="AO48" s="117"/>
      <c r="AP48" s="116" t="s">
        <v>291</v>
      </c>
      <c r="AQ48" s="117"/>
      <c r="AR48" s="116" t="s">
        <v>292</v>
      </c>
      <c r="AS48" s="117"/>
      <c r="AT48" s="116" t="s">
        <v>307</v>
      </c>
      <c r="AU48" s="117"/>
      <c r="AV48" s="116" t="s">
        <v>293</v>
      </c>
      <c r="AW48" s="117"/>
      <c r="AX48" s="116" t="s">
        <v>14</v>
      </c>
      <c r="AY48" s="117"/>
      <c r="AZ48" s="116" t="s">
        <v>15</v>
      </c>
      <c r="BA48" s="117"/>
      <c r="BB48" s="116" t="s">
        <v>16</v>
      </c>
      <c r="BC48" s="117"/>
      <c r="BD48" s="116" t="s">
        <v>17</v>
      </c>
      <c r="BE48" s="117"/>
      <c r="BF48" s="116" t="s">
        <v>18</v>
      </c>
      <c r="BG48" s="117"/>
      <c r="BH48" s="116" t="s">
        <v>294</v>
      </c>
      <c r="BI48" s="117"/>
      <c r="BJ48" s="116" t="s">
        <v>295</v>
      </c>
      <c r="BK48" s="117"/>
      <c r="BL48" s="116" t="s">
        <v>19</v>
      </c>
      <c r="BM48" s="117"/>
      <c r="BN48" s="116" t="s">
        <v>20</v>
      </c>
      <c r="BO48" s="117"/>
      <c r="BP48" s="118" t="s">
        <v>21</v>
      </c>
      <c r="BQ48" s="119"/>
    </row>
    <row r="49" spans="1:69" ht="30" x14ac:dyDescent="0.25">
      <c r="A49" s="3"/>
      <c r="B49" s="67" t="s">
        <v>296</v>
      </c>
      <c r="C49" s="68" t="s">
        <v>297</v>
      </c>
      <c r="D49" s="67" t="s">
        <v>296</v>
      </c>
      <c r="E49" s="68" t="s">
        <v>297</v>
      </c>
      <c r="F49" s="67" t="s">
        <v>296</v>
      </c>
      <c r="G49" s="68" t="s">
        <v>297</v>
      </c>
      <c r="H49" s="67" t="s">
        <v>296</v>
      </c>
      <c r="I49" s="68" t="s">
        <v>297</v>
      </c>
      <c r="J49" s="67" t="s">
        <v>296</v>
      </c>
      <c r="K49" s="68" t="s">
        <v>297</v>
      </c>
      <c r="L49" s="67" t="s">
        <v>296</v>
      </c>
      <c r="M49" s="68" t="s">
        <v>297</v>
      </c>
      <c r="N49" s="67" t="s">
        <v>296</v>
      </c>
      <c r="O49" s="68" t="s">
        <v>297</v>
      </c>
      <c r="P49" s="67" t="s">
        <v>296</v>
      </c>
      <c r="Q49" s="68" t="s">
        <v>297</v>
      </c>
      <c r="R49" s="67" t="s">
        <v>296</v>
      </c>
      <c r="S49" s="68" t="s">
        <v>297</v>
      </c>
      <c r="T49" s="67" t="s">
        <v>296</v>
      </c>
      <c r="U49" s="68" t="s">
        <v>297</v>
      </c>
      <c r="V49" s="67" t="s">
        <v>296</v>
      </c>
      <c r="W49" s="68" t="s">
        <v>297</v>
      </c>
      <c r="X49" s="67" t="s">
        <v>296</v>
      </c>
      <c r="Y49" s="68" t="s">
        <v>297</v>
      </c>
      <c r="Z49" s="67" t="s">
        <v>296</v>
      </c>
      <c r="AA49" s="68" t="s">
        <v>297</v>
      </c>
      <c r="AB49" s="67" t="s">
        <v>296</v>
      </c>
      <c r="AC49" s="68" t="s">
        <v>297</v>
      </c>
      <c r="AD49" s="67" t="s">
        <v>296</v>
      </c>
      <c r="AE49" s="68" t="s">
        <v>297</v>
      </c>
      <c r="AF49" s="67" t="s">
        <v>296</v>
      </c>
      <c r="AG49" s="68" t="s">
        <v>297</v>
      </c>
      <c r="AH49" s="67" t="s">
        <v>296</v>
      </c>
      <c r="AI49" s="68" t="s">
        <v>297</v>
      </c>
      <c r="AJ49" s="67" t="s">
        <v>296</v>
      </c>
      <c r="AK49" s="68" t="s">
        <v>297</v>
      </c>
      <c r="AL49" s="67" t="s">
        <v>296</v>
      </c>
      <c r="AM49" s="68" t="s">
        <v>297</v>
      </c>
      <c r="AN49" s="67" t="s">
        <v>296</v>
      </c>
      <c r="AO49" s="68" t="s">
        <v>297</v>
      </c>
      <c r="AP49" s="67" t="s">
        <v>296</v>
      </c>
      <c r="AQ49" s="68" t="s">
        <v>297</v>
      </c>
      <c r="AR49" s="67" t="s">
        <v>296</v>
      </c>
      <c r="AS49" s="68" t="s">
        <v>297</v>
      </c>
      <c r="AT49" s="67" t="s">
        <v>296</v>
      </c>
      <c r="AU49" s="68" t="s">
        <v>297</v>
      </c>
      <c r="AV49" s="67" t="s">
        <v>296</v>
      </c>
      <c r="AW49" s="68" t="s">
        <v>297</v>
      </c>
      <c r="AX49" s="67" t="s">
        <v>296</v>
      </c>
      <c r="AY49" s="68" t="s">
        <v>297</v>
      </c>
      <c r="AZ49" s="67" t="s">
        <v>296</v>
      </c>
      <c r="BA49" s="68" t="s">
        <v>297</v>
      </c>
      <c r="BB49" s="67" t="s">
        <v>296</v>
      </c>
      <c r="BC49" s="68" t="s">
        <v>297</v>
      </c>
      <c r="BD49" s="67" t="s">
        <v>296</v>
      </c>
      <c r="BE49" s="68" t="s">
        <v>297</v>
      </c>
      <c r="BF49" s="67" t="s">
        <v>296</v>
      </c>
      <c r="BG49" s="68" t="s">
        <v>297</v>
      </c>
      <c r="BH49" s="67" t="s">
        <v>296</v>
      </c>
      <c r="BI49" s="68" t="s">
        <v>297</v>
      </c>
      <c r="BJ49" s="67" t="s">
        <v>296</v>
      </c>
      <c r="BK49" s="68" t="s">
        <v>297</v>
      </c>
      <c r="BL49" s="67" t="s">
        <v>296</v>
      </c>
      <c r="BM49" s="68" t="s">
        <v>297</v>
      </c>
      <c r="BN49" s="67" t="s">
        <v>296</v>
      </c>
      <c r="BO49" s="68" t="s">
        <v>297</v>
      </c>
      <c r="BP49" s="84" t="s">
        <v>280</v>
      </c>
      <c r="BQ49" s="85" t="s">
        <v>281</v>
      </c>
    </row>
    <row r="50" spans="1:69" x14ac:dyDescent="0.25">
      <c r="A50" s="26" t="s">
        <v>228</v>
      </c>
      <c r="B50" s="10">
        <v>76942</v>
      </c>
      <c r="C50" s="10">
        <v>102788</v>
      </c>
      <c r="D50" s="95">
        <v>904920</v>
      </c>
      <c r="E50" s="10">
        <v>1262598</v>
      </c>
      <c r="F50" s="10"/>
      <c r="G50" s="10"/>
      <c r="H50" s="10">
        <v>3202952</v>
      </c>
      <c r="I50" s="10">
        <v>4915751</v>
      </c>
      <c r="J50" s="10">
        <v>429370</v>
      </c>
      <c r="K50" s="10">
        <v>681202</v>
      </c>
      <c r="L50" s="10">
        <v>482145</v>
      </c>
      <c r="M50" s="10">
        <v>676473</v>
      </c>
      <c r="N50" s="10"/>
      <c r="O50" s="10"/>
      <c r="P50" s="10">
        <v>101736</v>
      </c>
      <c r="Q50" s="10">
        <v>179641</v>
      </c>
      <c r="R50" s="10">
        <v>627525</v>
      </c>
      <c r="S50" s="10">
        <v>1098287</v>
      </c>
      <c r="T50" s="10">
        <v>106047</v>
      </c>
      <c r="U50" s="10">
        <v>118901</v>
      </c>
      <c r="V50" s="10">
        <v>1601768</v>
      </c>
      <c r="W50" s="10">
        <v>2597806</v>
      </c>
      <c r="X50" s="10">
        <v>3569456</v>
      </c>
      <c r="Y50" s="10">
        <v>6086594</v>
      </c>
      <c r="Z50" s="10">
        <v>3890005</v>
      </c>
      <c r="AA50" s="10">
        <v>6527662</v>
      </c>
      <c r="AB50" s="10">
        <v>3305221</v>
      </c>
      <c r="AC50" s="10">
        <v>5908332</v>
      </c>
      <c r="AD50" s="10">
        <v>103361</v>
      </c>
      <c r="AE50" s="10">
        <v>141704</v>
      </c>
      <c r="AF50" s="10">
        <v>467740</v>
      </c>
      <c r="AG50" s="10">
        <v>755999</v>
      </c>
      <c r="AH50" s="10">
        <v>42765</v>
      </c>
      <c r="AI50" s="10">
        <v>61846</v>
      </c>
      <c r="AJ50" s="10">
        <v>950296</v>
      </c>
      <c r="AK50" s="10">
        <v>1334102</v>
      </c>
      <c r="AL50" s="10">
        <v>1465366</v>
      </c>
      <c r="AM50" s="10">
        <v>1977743</v>
      </c>
      <c r="AN50" s="10">
        <v>9522422.9679999985</v>
      </c>
      <c r="AO50" s="10">
        <v>17574939.708999999</v>
      </c>
      <c r="AP50" s="10">
        <v>22104</v>
      </c>
      <c r="AQ50" s="10">
        <v>49590</v>
      </c>
      <c r="AR50" s="10">
        <v>691</v>
      </c>
      <c r="AS50" s="10">
        <v>691</v>
      </c>
      <c r="AT50" s="10">
        <v>2539165</v>
      </c>
      <c r="AU50" s="10">
        <v>4131769</v>
      </c>
      <c r="AV50" s="10">
        <v>2385219</v>
      </c>
      <c r="AW50" s="10">
        <v>3369971</v>
      </c>
      <c r="AX50" s="10">
        <v>411918</v>
      </c>
      <c r="AY50" s="10">
        <v>746834</v>
      </c>
      <c r="AZ50" s="10">
        <v>1313141</v>
      </c>
      <c r="BA50" s="10">
        <v>2031016</v>
      </c>
      <c r="BB50" s="10">
        <v>24</v>
      </c>
      <c r="BC50" s="10">
        <v>471</v>
      </c>
      <c r="BD50" s="10"/>
      <c r="BE50" s="10"/>
      <c r="BF50" s="10">
        <v>1061354</v>
      </c>
      <c r="BG50" s="10">
        <v>1568463</v>
      </c>
      <c r="BH50" s="10">
        <v>19585100</v>
      </c>
      <c r="BI50" s="10">
        <v>31454256</v>
      </c>
      <c r="BJ50" s="10">
        <v>10229696</v>
      </c>
      <c r="BK50" s="10">
        <v>16572040</v>
      </c>
      <c r="BL50" s="108">
        <v>12449264</v>
      </c>
      <c r="BM50" s="108">
        <v>19794423</v>
      </c>
      <c r="BN50" s="10">
        <v>396934</v>
      </c>
      <c r="BO50" s="10">
        <v>578833</v>
      </c>
      <c r="BP50" s="88">
        <f t="shared" ref="BP50:BP55" si="9">SUM(B50+D50+F50+H50+J50+L50+N50+P50+R50+T50+V50+X50+Z50+AB50+AD50+AF50+AH50+AJ50+AL50+AN50+AP50+AR50+AT50+AV50+AX50+AZ50+BB50+BD50+BF50+BH50+BJ50+BL50+BN50)</f>
        <v>81244647.967999995</v>
      </c>
      <c r="BQ50" s="88">
        <f t="shared" ref="BQ50:BQ55" si="10">SUM(C50+E50+G50+I50+K50+M50+O50+Q50+S50+U50+W50+Y50+AA50+AC50+AE50+AG50+AI50+AK50+AM50+AO50+AQ50+AS50+AU50+AW50+AY50+BA50+BC50+BE50+BG50+BI50+BK50+BM50+BO50)</f>
        <v>132300725.70899999</v>
      </c>
    </row>
    <row r="51" spans="1:69" x14ac:dyDescent="0.25">
      <c r="A51" s="26" t="s">
        <v>279</v>
      </c>
      <c r="B51" s="10">
        <v>113529</v>
      </c>
      <c r="C51" s="10">
        <v>113529</v>
      </c>
      <c r="D51" s="10">
        <v>1190874</v>
      </c>
      <c r="E51" s="10">
        <v>1190874</v>
      </c>
      <c r="F51" s="10"/>
      <c r="G51" s="10"/>
      <c r="H51" s="10">
        <v>1579454</v>
      </c>
      <c r="I51" s="10">
        <v>5170241</v>
      </c>
      <c r="J51" s="10">
        <v>-53448</v>
      </c>
      <c r="K51" s="10">
        <v>887519</v>
      </c>
      <c r="L51" s="10">
        <v>662582</v>
      </c>
      <c r="M51" s="10">
        <v>662582</v>
      </c>
      <c r="N51" s="10"/>
      <c r="O51" s="10"/>
      <c r="P51" s="10">
        <v>173483</v>
      </c>
      <c r="Q51" s="10">
        <v>173483</v>
      </c>
      <c r="R51" s="10">
        <v>1162133</v>
      </c>
      <c r="S51" s="10">
        <v>1162133</v>
      </c>
      <c r="T51" s="10">
        <v>230852</v>
      </c>
      <c r="U51" s="10">
        <v>230852</v>
      </c>
      <c r="V51" s="10">
        <v>3899025</v>
      </c>
      <c r="W51" s="10">
        <v>3899025</v>
      </c>
      <c r="X51" s="10">
        <v>4060961</v>
      </c>
      <c r="Y51" s="10">
        <v>4060961</v>
      </c>
      <c r="Z51" s="10">
        <v>10762708</v>
      </c>
      <c r="AA51" s="10">
        <v>10762708</v>
      </c>
      <c r="AB51" s="10">
        <v>764167</v>
      </c>
      <c r="AC51" s="10">
        <v>2658160</v>
      </c>
      <c r="AD51" s="10">
        <v>218546</v>
      </c>
      <c r="AE51" s="10">
        <v>218546</v>
      </c>
      <c r="AF51" s="10">
        <v>453479</v>
      </c>
      <c r="AG51" s="10">
        <v>453479</v>
      </c>
      <c r="AH51" s="10">
        <v>167828</v>
      </c>
      <c r="AI51" s="10">
        <v>167828</v>
      </c>
      <c r="AJ51" s="10">
        <v>875528</v>
      </c>
      <c r="AK51" s="10">
        <v>875528</v>
      </c>
      <c r="AL51" s="10">
        <v>2489476</v>
      </c>
      <c r="AM51" s="10">
        <v>2489476</v>
      </c>
      <c r="AN51" s="10">
        <v>2023630.3087824746</v>
      </c>
      <c r="AO51" s="10">
        <v>9094290.8731937036</v>
      </c>
      <c r="AP51" s="10">
        <v>120444</v>
      </c>
      <c r="AQ51" s="10">
        <v>120444</v>
      </c>
      <c r="AR51" s="10">
        <v>452</v>
      </c>
      <c r="AS51" s="10">
        <v>4213</v>
      </c>
      <c r="AT51" s="10">
        <v>3566931</v>
      </c>
      <c r="AU51" s="10">
        <v>3566931</v>
      </c>
      <c r="AV51" s="10">
        <v>3982923</v>
      </c>
      <c r="AW51" s="10">
        <v>3982923</v>
      </c>
      <c r="AX51" s="10">
        <v>229854</v>
      </c>
      <c r="AY51" s="10">
        <v>1114775</v>
      </c>
      <c r="AZ51" s="10">
        <v>3262728</v>
      </c>
      <c r="BA51" s="10">
        <v>3262728</v>
      </c>
      <c r="BB51" s="10">
        <v>6830</v>
      </c>
      <c r="BC51" s="10">
        <v>6830</v>
      </c>
      <c r="BD51" s="10"/>
      <c r="BE51" s="10"/>
      <c r="BF51" s="10">
        <v>2630804</v>
      </c>
      <c r="BG51" s="10">
        <v>2630804</v>
      </c>
      <c r="BH51" s="10">
        <v>15831499</v>
      </c>
      <c r="BI51" s="10">
        <v>15831499</v>
      </c>
      <c r="BJ51" s="10">
        <v>2169526</v>
      </c>
      <c r="BK51" s="10">
        <v>11425146</v>
      </c>
      <c r="BL51" s="108">
        <v>16890582</v>
      </c>
      <c r="BM51" s="108">
        <v>16890582</v>
      </c>
      <c r="BN51" s="10">
        <v>95273</v>
      </c>
      <c r="BO51" s="10">
        <v>411612</v>
      </c>
      <c r="BP51" s="88">
        <f t="shared" si="9"/>
        <v>79562653.308782473</v>
      </c>
      <c r="BQ51" s="88">
        <f t="shared" si="10"/>
        <v>103519701.87319371</v>
      </c>
    </row>
    <row r="52" spans="1:69" x14ac:dyDescent="0.25">
      <c r="A52" s="26" t="s">
        <v>278</v>
      </c>
      <c r="B52" s="10">
        <v>84723</v>
      </c>
      <c r="C52" s="10">
        <v>40600</v>
      </c>
      <c r="D52" s="10">
        <v>982514</v>
      </c>
      <c r="E52" s="10">
        <v>611575</v>
      </c>
      <c r="F52" s="10"/>
      <c r="G52" s="10"/>
      <c r="H52" s="10"/>
      <c r="I52" s="10">
        <v>2567306</v>
      </c>
      <c r="J52" s="10"/>
      <c r="K52" s="10">
        <v>799396</v>
      </c>
      <c r="L52" s="10">
        <v>394716</v>
      </c>
      <c r="M52" s="10">
        <v>329385</v>
      </c>
      <c r="N52" s="10"/>
      <c r="O52" s="10"/>
      <c r="P52" s="10">
        <v>94987</v>
      </c>
      <c r="Q52" s="10">
        <v>280485</v>
      </c>
      <c r="R52" s="10">
        <v>498779</v>
      </c>
      <c r="S52" s="10">
        <v>360641</v>
      </c>
      <c r="T52" s="10">
        <v>141072</v>
      </c>
      <c r="U52" s="10">
        <v>47630</v>
      </c>
      <c r="V52" s="10">
        <v>-3191789</v>
      </c>
      <c r="W52" s="10">
        <v>-2142698</v>
      </c>
      <c r="X52" s="10">
        <v>2794724</v>
      </c>
      <c r="Y52" s="10">
        <v>2580886</v>
      </c>
      <c r="Z52" s="10">
        <v>8797482</v>
      </c>
      <c r="AA52" s="10">
        <v>6697430</v>
      </c>
      <c r="AB52" s="10"/>
      <c r="AC52" s="10">
        <v>1494294</v>
      </c>
      <c r="AD52" s="10">
        <v>156726</v>
      </c>
      <c r="AE52" s="10">
        <v>97081</v>
      </c>
      <c r="AF52" s="10">
        <v>408485</v>
      </c>
      <c r="AG52" s="10">
        <v>419436</v>
      </c>
      <c r="AH52" s="10">
        <v>-121191</v>
      </c>
      <c r="AI52" s="10">
        <v>-93693</v>
      </c>
      <c r="AJ52" s="10">
        <v>669403</v>
      </c>
      <c r="AK52" s="10">
        <v>610988</v>
      </c>
      <c r="AL52" s="10">
        <v>1984755</v>
      </c>
      <c r="AM52" s="10">
        <v>1165551</v>
      </c>
      <c r="AN52" s="10"/>
      <c r="AO52" s="10">
        <v>7184477.1076505007</v>
      </c>
      <c r="AP52" s="10">
        <v>-108642</v>
      </c>
      <c r="AQ52" s="10">
        <v>-111758</v>
      </c>
      <c r="AR52" s="10"/>
      <c r="AS52" s="10">
        <v>2252</v>
      </c>
      <c r="AT52" s="10">
        <v>3803676</v>
      </c>
      <c r="AU52" s="10">
        <v>3996089</v>
      </c>
      <c r="AV52" s="10">
        <v>3161600</v>
      </c>
      <c r="AW52" s="10">
        <v>2271801</v>
      </c>
      <c r="AX52" s="10"/>
      <c r="AY52" s="10">
        <v>-707955</v>
      </c>
      <c r="AZ52" s="10">
        <v>3240971</v>
      </c>
      <c r="BA52" s="10">
        <v>2175057</v>
      </c>
      <c r="BB52" s="10">
        <v>6297</v>
      </c>
      <c r="BC52" s="10">
        <v>6893</v>
      </c>
      <c r="BD52" s="10"/>
      <c r="BE52" s="10"/>
      <c r="BF52" s="10">
        <v>2265658</v>
      </c>
      <c r="BG52" s="10">
        <v>1787525</v>
      </c>
      <c r="BH52" s="10">
        <v>13223667</v>
      </c>
      <c r="BI52" s="10">
        <v>12506115</v>
      </c>
      <c r="BJ52" s="10">
        <v>0</v>
      </c>
      <c r="BK52" s="10">
        <v>8335434</v>
      </c>
      <c r="BL52" s="108">
        <v>11925192</v>
      </c>
      <c r="BM52" s="108">
        <v>10226101</v>
      </c>
      <c r="BN52" s="10"/>
      <c r="BO52" s="10">
        <v>183704</v>
      </c>
      <c r="BP52" s="88">
        <f t="shared" si="9"/>
        <v>51213805</v>
      </c>
      <c r="BQ52" s="88">
        <f t="shared" si="10"/>
        <v>63722028.107650504</v>
      </c>
    </row>
    <row r="53" spans="1:69" x14ac:dyDescent="0.25">
      <c r="A53" s="26" t="s">
        <v>284</v>
      </c>
      <c r="B53" s="10"/>
      <c r="C53" s="10"/>
      <c r="D53" s="10"/>
      <c r="E53" s="10"/>
      <c r="F53" s="10"/>
      <c r="G53" s="10"/>
      <c r="H53" s="10">
        <v>4782406</v>
      </c>
      <c r="I53" s="10">
        <v>7518686</v>
      </c>
      <c r="J53" s="10"/>
      <c r="K53" s="10"/>
      <c r="L53" s="10">
        <v>750011</v>
      </c>
      <c r="M53" s="10">
        <v>1009670</v>
      </c>
      <c r="N53" s="10"/>
      <c r="O53" s="10"/>
      <c r="P53" s="10">
        <v>180232</v>
      </c>
      <c r="Q53" s="10">
        <v>72639</v>
      </c>
      <c r="R53" s="10"/>
      <c r="S53" s="10"/>
      <c r="T53" s="10"/>
      <c r="U53" s="10"/>
      <c r="V53" s="10">
        <v>2309004</v>
      </c>
      <c r="W53" s="10">
        <v>4354133</v>
      </c>
      <c r="X53" s="10">
        <v>4835693</v>
      </c>
      <c r="Y53" s="10">
        <v>7566669</v>
      </c>
      <c r="Z53" s="10">
        <v>5855231</v>
      </c>
      <c r="AA53" s="10">
        <v>10592940</v>
      </c>
      <c r="AB53" s="10">
        <v>4069388</v>
      </c>
      <c r="AC53" s="10">
        <v>7072198</v>
      </c>
      <c r="AD53" s="10">
        <v>165181</v>
      </c>
      <c r="AE53" s="10">
        <v>263169</v>
      </c>
      <c r="AF53" s="10">
        <v>512734</v>
      </c>
      <c r="AG53" s="10">
        <v>790042</v>
      </c>
      <c r="AH53" s="10">
        <v>89402</v>
      </c>
      <c r="AI53" s="10">
        <v>135981</v>
      </c>
      <c r="AJ53" s="10">
        <v>1156421</v>
      </c>
      <c r="AK53" s="10">
        <v>1598642</v>
      </c>
      <c r="AL53" s="10">
        <v>1970087</v>
      </c>
      <c r="AM53" s="10">
        <v>3301668</v>
      </c>
      <c r="AN53" s="10"/>
      <c r="AO53" s="10"/>
      <c r="AP53" s="10">
        <v>33906</v>
      </c>
      <c r="AQ53" s="10">
        <v>58276</v>
      </c>
      <c r="AR53" s="10">
        <v>1143</v>
      </c>
      <c r="AS53" s="10">
        <v>2652</v>
      </c>
      <c r="AT53" s="10"/>
      <c r="AU53" s="10"/>
      <c r="AV53" s="10">
        <v>3206542</v>
      </c>
      <c r="AW53" s="10">
        <v>5081093</v>
      </c>
      <c r="AX53" s="10">
        <v>641772</v>
      </c>
      <c r="AY53" s="10">
        <v>1153653</v>
      </c>
      <c r="AZ53" s="10"/>
      <c r="BA53" s="10"/>
      <c r="BB53" s="10"/>
      <c r="BC53" s="10"/>
      <c r="BD53" s="10"/>
      <c r="BE53" s="10"/>
      <c r="BF53" s="10">
        <v>1426500</v>
      </c>
      <c r="BG53" s="10">
        <v>2411742</v>
      </c>
      <c r="BH53" s="10">
        <v>22192932</v>
      </c>
      <c r="BI53" s="10">
        <v>34779640</v>
      </c>
      <c r="BJ53" s="10">
        <v>12399222</v>
      </c>
      <c r="BK53" s="10">
        <v>19661752</v>
      </c>
      <c r="BL53" s="108">
        <v>17414654</v>
      </c>
      <c r="BM53" s="108">
        <v>26458904</v>
      </c>
      <c r="BN53" s="10">
        <v>492207</v>
      </c>
      <c r="BO53" s="10">
        <v>806741</v>
      </c>
      <c r="BP53" s="88">
        <f t="shared" si="9"/>
        <v>84484668</v>
      </c>
      <c r="BQ53" s="88">
        <f t="shared" si="10"/>
        <v>134690890</v>
      </c>
    </row>
    <row r="54" spans="1:69" x14ac:dyDescent="0.25">
      <c r="A54" s="26" t="s">
        <v>276</v>
      </c>
      <c r="B54" s="10"/>
      <c r="C54" s="10"/>
      <c r="D54" s="10"/>
      <c r="E54" s="10"/>
      <c r="F54" s="10"/>
      <c r="G54" s="10"/>
      <c r="H54" s="10"/>
      <c r="I54" s="10"/>
      <c r="J54" s="10">
        <v>7555</v>
      </c>
      <c r="K54" s="10">
        <v>7555</v>
      </c>
      <c r="L54" s="10"/>
      <c r="M54" s="10"/>
      <c r="N54" s="10"/>
      <c r="O54" s="10"/>
      <c r="P54" s="10">
        <v>4506</v>
      </c>
      <c r="Q54" s="10">
        <v>24478</v>
      </c>
      <c r="R54" s="10"/>
      <c r="S54" s="10"/>
      <c r="T54" s="10"/>
      <c r="U54" s="10"/>
      <c r="V54" s="10">
        <v>26</v>
      </c>
      <c r="W54" s="10">
        <v>26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>
        <v>41401</v>
      </c>
      <c r="AW54" s="10">
        <v>70519</v>
      </c>
      <c r="AX54" s="10"/>
      <c r="AY54" s="10"/>
      <c r="AZ54" s="10">
        <v>675589</v>
      </c>
      <c r="BA54" s="10">
        <v>675589</v>
      </c>
      <c r="BB54" s="10"/>
      <c r="BC54" s="10"/>
      <c r="BD54" s="10"/>
      <c r="BE54" s="10"/>
      <c r="BF54" s="10"/>
      <c r="BG54" s="10"/>
      <c r="BH54" s="10"/>
      <c r="BI54" s="10"/>
      <c r="BJ54" s="10">
        <v>1066</v>
      </c>
      <c r="BK54" s="10">
        <v>103468</v>
      </c>
      <c r="BL54" s="108">
        <v>0</v>
      </c>
      <c r="BM54" s="108">
        <v>0</v>
      </c>
      <c r="BN54" s="10"/>
      <c r="BO54" s="10"/>
      <c r="BP54" s="88">
        <f t="shared" si="9"/>
        <v>730143</v>
      </c>
      <c r="BQ54" s="88">
        <f t="shared" si="10"/>
        <v>881635</v>
      </c>
    </row>
    <row r="55" spans="1:69" x14ac:dyDescent="0.25">
      <c r="A55" s="26" t="s">
        <v>277</v>
      </c>
      <c r="B55" s="10">
        <v>3847</v>
      </c>
      <c r="C55" s="10">
        <v>5139</v>
      </c>
      <c r="D55" s="10">
        <v>204683</v>
      </c>
      <c r="E55" s="10">
        <v>251209</v>
      </c>
      <c r="F55" s="10"/>
      <c r="G55" s="10"/>
      <c r="H55" s="10">
        <v>407752</v>
      </c>
      <c r="I55" s="10">
        <v>706494</v>
      </c>
      <c r="J55" s="10">
        <v>22353</v>
      </c>
      <c r="K55" s="10">
        <v>35493</v>
      </c>
      <c r="L55" s="10">
        <v>77047</v>
      </c>
      <c r="M55" s="10">
        <v>111081</v>
      </c>
      <c r="N55" s="10"/>
      <c r="O55" s="10"/>
      <c r="P55" s="10">
        <v>19905</v>
      </c>
      <c r="Q55" s="10">
        <v>-240511</v>
      </c>
      <c r="R55" s="10">
        <v>163624</v>
      </c>
      <c r="S55" s="10">
        <v>311029</v>
      </c>
      <c r="T55" s="10">
        <v>25871</v>
      </c>
      <c r="U55" s="10">
        <v>26930</v>
      </c>
      <c r="V55" s="10"/>
      <c r="W55" s="10"/>
      <c r="X55" s="10">
        <v>741180</v>
      </c>
      <c r="Y55" s="10">
        <v>1212113</v>
      </c>
      <c r="Z55" s="10"/>
      <c r="AA55" s="10"/>
      <c r="AB55" s="10">
        <v>1007319</v>
      </c>
      <c r="AC55" s="10">
        <v>1811259</v>
      </c>
      <c r="AD55" s="10">
        <v>5168</v>
      </c>
      <c r="AE55" s="10">
        <v>7090</v>
      </c>
      <c r="AF55" s="10">
        <v>22321</v>
      </c>
      <c r="AG55" s="10">
        <v>35491</v>
      </c>
      <c r="AH55" s="10"/>
      <c r="AI55" s="10"/>
      <c r="AJ55" s="10">
        <v>46836</v>
      </c>
      <c r="AK55" s="10">
        <v>66717</v>
      </c>
      <c r="AL55" s="10">
        <v>435558</v>
      </c>
      <c r="AM55" s="10">
        <v>688461</v>
      </c>
      <c r="AN55" s="10">
        <v>2268032.7250000001</v>
      </c>
      <c r="AO55" s="10">
        <v>5506627.727</v>
      </c>
      <c r="AP55" s="10"/>
      <c r="AQ55" s="10"/>
      <c r="AR55" s="10">
        <v>35</v>
      </c>
      <c r="AS55" s="10">
        <v>35</v>
      </c>
      <c r="AT55" s="10">
        <v>520461</v>
      </c>
      <c r="AU55" s="10">
        <v>873083</v>
      </c>
      <c r="AV55" s="10">
        <v>629444</v>
      </c>
      <c r="AW55" s="10">
        <v>857564</v>
      </c>
      <c r="AX55" s="10">
        <v>-71670</v>
      </c>
      <c r="AY55" s="10">
        <v>-129675</v>
      </c>
      <c r="AZ55" s="10">
        <v>65657</v>
      </c>
      <c r="BA55" s="10">
        <v>101593</v>
      </c>
      <c r="BB55" s="10">
        <v>19</v>
      </c>
      <c r="BC55" s="10">
        <v>377</v>
      </c>
      <c r="BD55" s="10"/>
      <c r="BE55" s="10"/>
      <c r="BF55" s="10">
        <v>97800</v>
      </c>
      <c r="BG55" s="10">
        <v>138039</v>
      </c>
      <c r="BH55" s="10"/>
      <c r="BI55" s="10"/>
      <c r="BJ55" s="10">
        <v>597006</v>
      </c>
      <c r="BK55" s="10">
        <v>940194</v>
      </c>
      <c r="BL55" s="108">
        <v>982717</v>
      </c>
      <c r="BM55" s="108">
        <v>1409563</v>
      </c>
      <c r="BN55" s="10">
        <v>19854</v>
      </c>
      <c r="BO55" s="10">
        <v>29085</v>
      </c>
      <c r="BP55" s="88">
        <f t="shared" si="9"/>
        <v>8292819.7249999996</v>
      </c>
      <c r="BQ55" s="88">
        <f t="shared" si="10"/>
        <v>14754480.727</v>
      </c>
    </row>
    <row r="56" spans="1:69" x14ac:dyDescent="0.25">
      <c r="A56" s="26" t="s">
        <v>273</v>
      </c>
      <c r="B56" s="10">
        <v>101901</v>
      </c>
      <c r="C56" s="10">
        <v>170578</v>
      </c>
      <c r="D56" s="10">
        <v>908597</v>
      </c>
      <c r="E56" s="10">
        <v>1590688</v>
      </c>
      <c r="F56" s="10"/>
      <c r="G56" s="10"/>
      <c r="H56" s="10">
        <v>4374654</v>
      </c>
      <c r="I56" s="10">
        <v>6812192</v>
      </c>
      <c r="J56" s="10">
        <v>361123</v>
      </c>
      <c r="K56" s="10">
        <v>741387</v>
      </c>
      <c r="L56" s="10">
        <v>672964</v>
      </c>
      <c r="M56" s="10">
        <v>898589</v>
      </c>
      <c r="N56" s="10"/>
      <c r="O56" s="10"/>
      <c r="P56" s="10">
        <v>164833</v>
      </c>
      <c r="Q56" s="10">
        <v>337628</v>
      </c>
      <c r="R56" s="10">
        <v>1127255</v>
      </c>
      <c r="S56" s="10">
        <v>1588750</v>
      </c>
      <c r="T56" s="10">
        <v>169957</v>
      </c>
      <c r="U56" s="10">
        <v>275193</v>
      </c>
      <c r="V56" s="10">
        <v>1670968</v>
      </c>
      <c r="W56" s="10">
        <v>3142541</v>
      </c>
      <c r="X56" s="10">
        <v>4094513</v>
      </c>
      <c r="Y56" s="10">
        <v>6354556</v>
      </c>
      <c r="Z56" s="10">
        <v>4908046</v>
      </c>
      <c r="AA56" s="10">
        <v>8944043</v>
      </c>
      <c r="AB56" s="10">
        <v>3062069</v>
      </c>
      <c r="AC56" s="10">
        <v>5260939</v>
      </c>
      <c r="AD56" s="10">
        <v>160013</v>
      </c>
      <c r="AE56" s="10">
        <v>256079</v>
      </c>
      <c r="AF56" s="10">
        <v>470321</v>
      </c>
      <c r="AG56" s="10">
        <v>740363</v>
      </c>
      <c r="AH56" s="10">
        <v>75674</v>
      </c>
      <c r="AI56" s="10">
        <v>116167</v>
      </c>
      <c r="AJ56" s="10">
        <v>1109585</v>
      </c>
      <c r="AK56" s="10">
        <v>1531925</v>
      </c>
      <c r="AL56" s="10">
        <v>1534529</v>
      </c>
      <c r="AM56" s="10">
        <v>2613207</v>
      </c>
      <c r="AN56" s="10">
        <v>9278020.5517824739</v>
      </c>
      <c r="AO56" s="10">
        <v>13978125.747543205</v>
      </c>
      <c r="AP56" s="10">
        <v>25151</v>
      </c>
      <c r="AQ56" s="10">
        <v>40134</v>
      </c>
      <c r="AR56" s="10">
        <v>1108</v>
      </c>
      <c r="AS56" s="10">
        <v>2617</v>
      </c>
      <c r="AT56" s="10">
        <v>1781959</v>
      </c>
      <c r="AU56" s="10">
        <v>2829528</v>
      </c>
      <c r="AV56" s="10">
        <v>2618499</v>
      </c>
      <c r="AW56" s="10">
        <v>4294048</v>
      </c>
      <c r="AX56" s="10">
        <v>504717</v>
      </c>
      <c r="AY56" s="10">
        <v>917844</v>
      </c>
      <c r="AZ56" s="10">
        <v>1944830</v>
      </c>
      <c r="BA56" s="10">
        <v>3692683</v>
      </c>
      <c r="BB56" s="10">
        <v>537</v>
      </c>
      <c r="BC56" s="10">
        <v>31</v>
      </c>
      <c r="BD56" s="10"/>
      <c r="BE56" s="10"/>
      <c r="BF56" s="10">
        <v>1328700</v>
      </c>
      <c r="BG56" s="10">
        <v>2273703</v>
      </c>
      <c r="BH56" s="10">
        <v>21170762</v>
      </c>
      <c r="BI56" s="10">
        <v>33145757</v>
      </c>
      <c r="BJ56" s="10">
        <v>11803282</v>
      </c>
      <c r="BK56" s="10">
        <v>18825026</v>
      </c>
      <c r="BL56" s="108">
        <v>16431937</v>
      </c>
      <c r="BM56" s="108">
        <v>25049341</v>
      </c>
      <c r="BN56" s="10">
        <v>472353</v>
      </c>
      <c r="BO56" s="10">
        <v>777656</v>
      </c>
      <c r="BP56" s="88" t="e">
        <f>SUM(B56+D56+F56+H56+J56+L56+N56+P56+R56+T56+V56+X56+Z56+AB56+AD56+AF56+AH56+AJ56+AL56+AN56+AP56+AR56+AT56+AV56+#REF!+AZ56+BB56+BD56+BF56+BH56+BJ56+BL56+BN56)</f>
        <v>#REF!</v>
      </c>
      <c r="BQ56" s="88" t="e">
        <f>SUM(C56+E56+G56+I56+K56+M56+O56+Q56+S56+U56+W56+Y56+AA56+AC56+AE56+AG56+AI56+AK56+AM56+AO56+AQ56+AS56+AU56+AW56+#REF!+BA56+BC56+BE56+BG56+BI56+BK56+BM56+BO56)</f>
        <v>#REF!</v>
      </c>
    </row>
    <row r="57" spans="1:69" x14ac:dyDescent="0.25">
      <c r="A57" s="18"/>
      <c r="I57" s="95"/>
    </row>
    <row r="58" spans="1:69" x14ac:dyDescent="0.25">
      <c r="A58" s="33" t="s">
        <v>221</v>
      </c>
    </row>
    <row r="59" spans="1:69" x14ac:dyDescent="0.25">
      <c r="A59" s="3" t="s">
        <v>0</v>
      </c>
      <c r="B59" s="116" t="s">
        <v>1</v>
      </c>
      <c r="C59" s="117"/>
      <c r="D59" s="116" t="s">
        <v>285</v>
      </c>
      <c r="E59" s="117"/>
      <c r="F59" s="116" t="s">
        <v>2</v>
      </c>
      <c r="G59" s="117"/>
      <c r="H59" s="116" t="s">
        <v>3</v>
      </c>
      <c r="I59" s="117"/>
      <c r="J59" s="116" t="s">
        <v>4</v>
      </c>
      <c r="K59" s="117"/>
      <c r="L59" s="116" t="s">
        <v>286</v>
      </c>
      <c r="M59" s="117"/>
      <c r="N59" s="116" t="s">
        <v>6</v>
      </c>
      <c r="O59" s="117"/>
      <c r="P59" s="116" t="s">
        <v>5</v>
      </c>
      <c r="Q59" s="117"/>
      <c r="R59" s="116" t="s">
        <v>7</v>
      </c>
      <c r="S59" s="117"/>
      <c r="T59" s="116" t="s">
        <v>287</v>
      </c>
      <c r="U59" s="117"/>
      <c r="V59" s="116" t="s">
        <v>8</v>
      </c>
      <c r="W59" s="117"/>
      <c r="X59" s="116" t="s">
        <v>288</v>
      </c>
      <c r="Y59" s="117"/>
      <c r="Z59" s="116" t="s">
        <v>9</v>
      </c>
      <c r="AA59" s="117"/>
      <c r="AB59" s="116" t="s">
        <v>10</v>
      </c>
      <c r="AC59" s="117"/>
      <c r="AD59" s="116" t="s">
        <v>289</v>
      </c>
      <c r="AE59" s="117"/>
      <c r="AF59" s="116" t="s">
        <v>11</v>
      </c>
      <c r="AG59" s="117"/>
      <c r="AH59" s="116" t="s">
        <v>12</v>
      </c>
      <c r="AI59" s="117"/>
      <c r="AJ59" s="116" t="s">
        <v>290</v>
      </c>
      <c r="AK59" s="117"/>
      <c r="AL59" s="116" t="s">
        <v>299</v>
      </c>
      <c r="AM59" s="117"/>
      <c r="AN59" s="116" t="s">
        <v>13</v>
      </c>
      <c r="AO59" s="117"/>
      <c r="AP59" s="116" t="s">
        <v>291</v>
      </c>
      <c r="AQ59" s="117"/>
      <c r="AR59" s="116" t="s">
        <v>292</v>
      </c>
      <c r="AS59" s="117"/>
      <c r="AT59" s="116" t="s">
        <v>307</v>
      </c>
      <c r="AU59" s="117"/>
      <c r="AV59" s="116" t="s">
        <v>293</v>
      </c>
      <c r="AW59" s="117"/>
      <c r="AX59" s="116" t="s">
        <v>14</v>
      </c>
      <c r="AY59" s="117"/>
      <c r="AZ59" s="116" t="s">
        <v>15</v>
      </c>
      <c r="BA59" s="117"/>
      <c r="BB59" s="116" t="s">
        <v>16</v>
      </c>
      <c r="BC59" s="117"/>
      <c r="BD59" s="116" t="s">
        <v>17</v>
      </c>
      <c r="BE59" s="117"/>
      <c r="BF59" s="116" t="s">
        <v>18</v>
      </c>
      <c r="BG59" s="117"/>
      <c r="BH59" s="116" t="s">
        <v>294</v>
      </c>
      <c r="BI59" s="117"/>
      <c r="BJ59" s="116" t="s">
        <v>295</v>
      </c>
      <c r="BK59" s="117"/>
      <c r="BL59" s="116" t="s">
        <v>19</v>
      </c>
      <c r="BM59" s="117"/>
      <c r="BN59" s="116" t="s">
        <v>20</v>
      </c>
      <c r="BO59" s="117"/>
      <c r="BP59" s="118" t="s">
        <v>21</v>
      </c>
      <c r="BQ59" s="119"/>
    </row>
    <row r="60" spans="1:69" ht="30" x14ac:dyDescent="0.25">
      <c r="A60" s="3"/>
      <c r="B60" s="67" t="s">
        <v>296</v>
      </c>
      <c r="C60" s="68" t="s">
        <v>297</v>
      </c>
      <c r="D60" s="67" t="s">
        <v>296</v>
      </c>
      <c r="E60" s="68" t="s">
        <v>297</v>
      </c>
      <c r="F60" s="67" t="s">
        <v>296</v>
      </c>
      <c r="G60" s="68" t="s">
        <v>297</v>
      </c>
      <c r="H60" s="67" t="s">
        <v>296</v>
      </c>
      <c r="I60" s="68" t="s">
        <v>297</v>
      </c>
      <c r="J60" s="67" t="s">
        <v>296</v>
      </c>
      <c r="K60" s="68" t="s">
        <v>297</v>
      </c>
      <c r="L60" s="67" t="s">
        <v>296</v>
      </c>
      <c r="M60" s="68" t="s">
        <v>297</v>
      </c>
      <c r="N60" s="67" t="s">
        <v>296</v>
      </c>
      <c r="O60" s="68" t="s">
        <v>297</v>
      </c>
      <c r="P60" s="67" t="s">
        <v>296</v>
      </c>
      <c r="Q60" s="68" t="s">
        <v>297</v>
      </c>
      <c r="R60" s="67" t="s">
        <v>296</v>
      </c>
      <c r="S60" s="68" t="s">
        <v>297</v>
      </c>
      <c r="T60" s="67" t="s">
        <v>296</v>
      </c>
      <c r="U60" s="68" t="s">
        <v>297</v>
      </c>
      <c r="V60" s="67" t="s">
        <v>296</v>
      </c>
      <c r="W60" s="68" t="s">
        <v>297</v>
      </c>
      <c r="X60" s="67" t="s">
        <v>296</v>
      </c>
      <c r="Y60" s="68" t="s">
        <v>297</v>
      </c>
      <c r="Z60" s="67" t="s">
        <v>296</v>
      </c>
      <c r="AA60" s="68" t="s">
        <v>297</v>
      </c>
      <c r="AB60" s="67" t="s">
        <v>296</v>
      </c>
      <c r="AC60" s="68" t="s">
        <v>297</v>
      </c>
      <c r="AD60" s="67" t="s">
        <v>296</v>
      </c>
      <c r="AE60" s="68" t="s">
        <v>297</v>
      </c>
      <c r="AF60" s="67" t="s">
        <v>296</v>
      </c>
      <c r="AG60" s="68" t="s">
        <v>297</v>
      </c>
      <c r="AH60" s="67" t="s">
        <v>296</v>
      </c>
      <c r="AI60" s="68" t="s">
        <v>297</v>
      </c>
      <c r="AJ60" s="67" t="s">
        <v>296</v>
      </c>
      <c r="AK60" s="68" t="s">
        <v>297</v>
      </c>
      <c r="AL60" s="67" t="s">
        <v>296</v>
      </c>
      <c r="AM60" s="68" t="s">
        <v>297</v>
      </c>
      <c r="AN60" s="67" t="s">
        <v>296</v>
      </c>
      <c r="AO60" s="68" t="s">
        <v>297</v>
      </c>
      <c r="AP60" s="67" t="s">
        <v>296</v>
      </c>
      <c r="AQ60" s="68" t="s">
        <v>297</v>
      </c>
      <c r="AR60" s="67" t="s">
        <v>296</v>
      </c>
      <c r="AS60" s="68" t="s">
        <v>297</v>
      </c>
      <c r="AT60" s="67" t="s">
        <v>296</v>
      </c>
      <c r="AU60" s="68" t="s">
        <v>297</v>
      </c>
      <c r="AV60" s="67" t="s">
        <v>296</v>
      </c>
      <c r="AW60" s="68" t="s">
        <v>297</v>
      </c>
      <c r="AX60" s="67" t="s">
        <v>296</v>
      </c>
      <c r="AY60" s="68" t="s">
        <v>297</v>
      </c>
      <c r="AZ60" s="67" t="s">
        <v>296</v>
      </c>
      <c r="BA60" s="68" t="s">
        <v>297</v>
      </c>
      <c r="BB60" s="67" t="s">
        <v>296</v>
      </c>
      <c r="BC60" s="68" t="s">
        <v>297</v>
      </c>
      <c r="BD60" s="67" t="s">
        <v>296</v>
      </c>
      <c r="BE60" s="68" t="s">
        <v>297</v>
      </c>
      <c r="BF60" s="67" t="s">
        <v>296</v>
      </c>
      <c r="BG60" s="68" t="s">
        <v>297</v>
      </c>
      <c r="BH60" s="67" t="s">
        <v>296</v>
      </c>
      <c r="BI60" s="68" t="s">
        <v>297</v>
      </c>
      <c r="BJ60" s="67" t="s">
        <v>296</v>
      </c>
      <c r="BK60" s="68" t="s">
        <v>297</v>
      </c>
      <c r="BL60" s="67" t="s">
        <v>296</v>
      </c>
      <c r="BM60" s="68" t="s">
        <v>297</v>
      </c>
      <c r="BN60" s="67" t="s">
        <v>296</v>
      </c>
      <c r="BO60" s="68" t="s">
        <v>297</v>
      </c>
      <c r="BP60" s="84" t="s">
        <v>280</v>
      </c>
      <c r="BQ60" s="85" t="s">
        <v>281</v>
      </c>
    </row>
    <row r="61" spans="1:69" x14ac:dyDescent="0.25">
      <c r="A61" s="26" t="s">
        <v>228</v>
      </c>
      <c r="B61" s="10">
        <v>4300</v>
      </c>
      <c r="C61" s="10">
        <v>4880</v>
      </c>
      <c r="D61" s="10">
        <v>38710</v>
      </c>
      <c r="E61" s="10">
        <v>43356</v>
      </c>
      <c r="F61" s="10"/>
      <c r="G61" s="10"/>
      <c r="H61" s="10">
        <v>194224</v>
      </c>
      <c r="I61" s="10">
        <v>288890</v>
      </c>
      <c r="J61" s="10">
        <v>28096</v>
      </c>
      <c r="K61" s="10">
        <v>38955</v>
      </c>
      <c r="L61" s="10">
        <v>155707</v>
      </c>
      <c r="M61" s="10">
        <v>200579</v>
      </c>
      <c r="N61" s="10"/>
      <c r="O61" s="10"/>
      <c r="P61" s="10">
        <v>1738</v>
      </c>
      <c r="Q61" s="10">
        <v>1919</v>
      </c>
      <c r="R61" s="10">
        <v>34710</v>
      </c>
      <c r="S61" s="10">
        <v>49382</v>
      </c>
      <c r="T61" s="10">
        <v>5475</v>
      </c>
      <c r="U61" s="10">
        <v>2181</v>
      </c>
      <c r="V61" s="10">
        <v>326804</v>
      </c>
      <c r="W61" s="10">
        <v>501965</v>
      </c>
      <c r="X61" s="10">
        <v>44011</v>
      </c>
      <c r="Y61" s="10">
        <v>56072</v>
      </c>
      <c r="Z61" s="10">
        <v>231534</v>
      </c>
      <c r="AA61" s="10">
        <v>398999</v>
      </c>
      <c r="AB61" s="10">
        <v>141412</v>
      </c>
      <c r="AC61" s="10">
        <v>206623</v>
      </c>
      <c r="AD61" s="10">
        <v>25943</v>
      </c>
      <c r="AE61" s="10">
        <v>31488</v>
      </c>
      <c r="AF61" s="10">
        <v>37447</v>
      </c>
      <c r="AG61" s="10">
        <v>54167</v>
      </c>
      <c r="AH61" s="10">
        <v>1723</v>
      </c>
      <c r="AI61" s="10">
        <v>2753</v>
      </c>
      <c r="AJ61" s="10">
        <v>5573</v>
      </c>
      <c r="AK61" s="10">
        <v>10513</v>
      </c>
      <c r="AL61" s="10">
        <v>9432</v>
      </c>
      <c r="AM61" s="10">
        <v>15056</v>
      </c>
      <c r="AN61" s="10">
        <v>558881.45400000003</v>
      </c>
      <c r="AO61" s="10">
        <v>793657.15700000001</v>
      </c>
      <c r="AP61" s="10">
        <v>6372</v>
      </c>
      <c r="AQ61" s="10">
        <v>10195</v>
      </c>
      <c r="AR61" s="10">
        <v>122</v>
      </c>
      <c r="AS61" s="10">
        <v>122</v>
      </c>
      <c r="AT61" s="10">
        <v>30959</v>
      </c>
      <c r="AU61" s="10">
        <v>45574</v>
      </c>
      <c r="AV61" s="10">
        <v>52975</v>
      </c>
      <c r="AW61" s="10">
        <v>106042</v>
      </c>
      <c r="AX61" s="10">
        <v>43774</v>
      </c>
      <c r="AY61" s="10">
        <v>63755</v>
      </c>
      <c r="AZ61" s="10">
        <v>449515</v>
      </c>
      <c r="BA61" s="10">
        <v>562736</v>
      </c>
      <c r="BB61" s="10">
        <v>121610</v>
      </c>
      <c r="BC61" s="10">
        <v>182321</v>
      </c>
      <c r="BD61" s="10"/>
      <c r="BE61" s="10"/>
      <c r="BF61" s="10">
        <v>140911</v>
      </c>
      <c r="BG61" s="10">
        <v>203066</v>
      </c>
      <c r="BH61" s="10">
        <v>1009427</v>
      </c>
      <c r="BI61" s="10">
        <v>1447735</v>
      </c>
      <c r="BJ61" s="10">
        <v>756765</v>
      </c>
      <c r="BK61" s="10">
        <v>1151165</v>
      </c>
      <c r="BL61" s="108">
        <v>1260186</v>
      </c>
      <c r="BM61" s="108">
        <v>2012320</v>
      </c>
      <c r="BN61" s="10">
        <v>46086</v>
      </c>
      <c r="BO61" s="10">
        <v>75645</v>
      </c>
      <c r="BP61" s="88">
        <f t="shared" ref="BP61:BP66" si="11">SUM(B61+D61+F61+H61+J61+L61+N61+P61+R61+T61+V61+X61+Z61+AB61+AD61+AF61+AH61+AJ61+AL61+AN61+AP61+AR61+AT61+AV61+AX61+AZ61+BB61+BD61+BF61+BH61+BJ61+BL61+BN61)</f>
        <v>5764422.4539999999</v>
      </c>
      <c r="BQ61" s="88">
        <f t="shared" ref="BQ61:BQ66" si="12">SUM(C61+E61+G61+I61+K61+M61+O61+Q61+S61+U61+W61+Y61+AA61+AC61+AE61+AG61+AI61+AK61+AM61+AO61+AQ61+AS61+AU61+AW61+AY61+BA61+BC61+BE61+BG61+BI61+BK61+BM61+BO61)</f>
        <v>8562111.1569999997</v>
      </c>
    </row>
    <row r="62" spans="1:69" x14ac:dyDescent="0.25">
      <c r="A62" s="26" t="s">
        <v>279</v>
      </c>
      <c r="B62" s="10">
        <v>16609</v>
      </c>
      <c r="C62" s="10">
        <v>16609</v>
      </c>
      <c r="D62" s="10">
        <v>182078</v>
      </c>
      <c r="E62" s="10">
        <v>182078</v>
      </c>
      <c r="F62" s="10"/>
      <c r="G62" s="10"/>
      <c r="H62" s="10">
        <v>102505</v>
      </c>
      <c r="I62" s="10">
        <v>1453866</v>
      </c>
      <c r="J62" s="10">
        <v>18024</v>
      </c>
      <c r="K62" s="10">
        <v>216102</v>
      </c>
      <c r="L62" s="10">
        <v>410286</v>
      </c>
      <c r="M62" s="10">
        <v>410286</v>
      </c>
      <c r="N62" s="10"/>
      <c r="O62" s="10"/>
      <c r="P62" s="10">
        <v>8386</v>
      </c>
      <c r="Q62" s="10">
        <v>8386</v>
      </c>
      <c r="R62" s="10">
        <v>301926</v>
      </c>
      <c r="S62" s="10">
        <v>301926</v>
      </c>
      <c r="T62" s="10">
        <v>45768</v>
      </c>
      <c r="U62" s="10">
        <v>45768</v>
      </c>
      <c r="V62" s="10">
        <v>2467237</v>
      </c>
      <c r="W62" s="10">
        <v>2467237</v>
      </c>
      <c r="X62" s="10">
        <v>229967</v>
      </c>
      <c r="Y62" s="10">
        <v>229967</v>
      </c>
      <c r="Z62" s="10">
        <v>4387418</v>
      </c>
      <c r="AA62" s="10">
        <v>4387418</v>
      </c>
      <c r="AB62" s="10">
        <v>99072</v>
      </c>
      <c r="AC62" s="10">
        <v>432046</v>
      </c>
      <c r="AD62" s="10">
        <v>28950</v>
      </c>
      <c r="AE62" s="10">
        <v>28950</v>
      </c>
      <c r="AF62" s="10">
        <v>146235</v>
      </c>
      <c r="AG62" s="10">
        <v>146235</v>
      </c>
      <c r="AH62" s="10">
        <v>38294</v>
      </c>
      <c r="AI62" s="10">
        <v>38294</v>
      </c>
      <c r="AJ62" s="10">
        <v>54443</v>
      </c>
      <c r="AK62" s="10">
        <v>54443</v>
      </c>
      <c r="AL62" s="10">
        <v>100243</v>
      </c>
      <c r="AM62" s="10">
        <v>100243</v>
      </c>
      <c r="AN62" s="10">
        <v>5948.2125767376274</v>
      </c>
      <c r="AO62" s="10">
        <v>2035168.0343089234</v>
      </c>
      <c r="AP62" s="10">
        <v>43355</v>
      </c>
      <c r="AQ62" s="10">
        <v>43355</v>
      </c>
      <c r="AR62" s="10">
        <v>94</v>
      </c>
      <c r="AS62" s="10">
        <v>1535</v>
      </c>
      <c r="AT62" s="10">
        <v>427524</v>
      </c>
      <c r="AU62" s="10">
        <v>427524</v>
      </c>
      <c r="AV62" s="10">
        <v>449777</v>
      </c>
      <c r="AW62" s="10">
        <v>449777</v>
      </c>
      <c r="AX62" s="10">
        <v>3874</v>
      </c>
      <c r="AY62" s="10">
        <v>300729</v>
      </c>
      <c r="AZ62" s="10">
        <v>5002650</v>
      </c>
      <c r="BA62" s="10">
        <v>5002650</v>
      </c>
      <c r="BB62" s="10">
        <v>57100</v>
      </c>
      <c r="BC62" s="10">
        <v>57100</v>
      </c>
      <c r="BD62" s="10"/>
      <c r="BE62" s="10"/>
      <c r="BF62" s="10">
        <v>830828</v>
      </c>
      <c r="BG62" s="10">
        <v>830828</v>
      </c>
      <c r="BH62" s="10">
        <v>4842575</v>
      </c>
      <c r="BI62" s="10">
        <v>4842575</v>
      </c>
      <c r="BJ62" s="10">
        <v>-302767</v>
      </c>
      <c r="BK62" s="10">
        <v>2436480</v>
      </c>
      <c r="BL62" s="108">
        <v>7221463</v>
      </c>
      <c r="BM62" s="108">
        <v>7221463</v>
      </c>
      <c r="BN62" s="10">
        <v>195339</v>
      </c>
      <c r="BO62" s="10">
        <v>873034</v>
      </c>
      <c r="BP62" s="88">
        <f t="shared" si="11"/>
        <v>27415201.212576739</v>
      </c>
      <c r="BQ62" s="88">
        <f t="shared" si="12"/>
        <v>35042072.034308925</v>
      </c>
    </row>
    <row r="63" spans="1:69" x14ac:dyDescent="0.25">
      <c r="A63" s="26" t="s">
        <v>278</v>
      </c>
      <c r="B63" s="10">
        <v>4964</v>
      </c>
      <c r="C63" s="10">
        <v>1135</v>
      </c>
      <c r="D63" s="10">
        <v>228925</v>
      </c>
      <c r="E63" s="10">
        <v>187691</v>
      </c>
      <c r="F63" s="10"/>
      <c r="G63" s="10"/>
      <c r="H63" s="10"/>
      <c r="I63" s="10">
        <v>1154558</v>
      </c>
      <c r="J63" s="10"/>
      <c r="K63" s="10">
        <v>164894</v>
      </c>
      <c r="L63" s="10">
        <v>398313</v>
      </c>
      <c r="M63" s="10">
        <v>370345</v>
      </c>
      <c r="N63" s="10"/>
      <c r="O63" s="10"/>
      <c r="P63" s="10">
        <v>5718</v>
      </c>
      <c r="Q63" s="10">
        <v>26008</v>
      </c>
      <c r="R63" s="10">
        <v>297185</v>
      </c>
      <c r="S63" s="10">
        <v>261014</v>
      </c>
      <c r="T63" s="10">
        <v>38868</v>
      </c>
      <c r="U63" s="10">
        <v>20219</v>
      </c>
      <c r="V63" s="10">
        <v>-2091247</v>
      </c>
      <c r="W63" s="10">
        <v>-1496375</v>
      </c>
      <c r="X63" s="10">
        <v>205525</v>
      </c>
      <c r="Y63" s="10">
        <v>151921</v>
      </c>
      <c r="Z63" s="10">
        <v>4239211</v>
      </c>
      <c r="AA63" s="10">
        <v>3904868</v>
      </c>
      <c r="AB63" s="10"/>
      <c r="AC63" s="10">
        <v>355544</v>
      </c>
      <c r="AD63" s="10">
        <v>27815</v>
      </c>
      <c r="AE63" s="10">
        <v>24941</v>
      </c>
      <c r="AF63" s="10">
        <v>147241</v>
      </c>
      <c r="AG63" s="10">
        <v>130540</v>
      </c>
      <c r="AH63" s="10">
        <v>-34695</v>
      </c>
      <c r="AI63" s="10">
        <v>-31638</v>
      </c>
      <c r="AJ63" s="10">
        <v>61539</v>
      </c>
      <c r="AK63" s="10">
        <v>64396</v>
      </c>
      <c r="AL63" s="10">
        <v>103464</v>
      </c>
      <c r="AM63" s="10">
        <v>86814</v>
      </c>
      <c r="AN63" s="10"/>
      <c r="AO63" s="10">
        <v>1950662.348</v>
      </c>
      <c r="AP63" s="10">
        <v>-38138</v>
      </c>
      <c r="AQ63" s="10">
        <v>-33767</v>
      </c>
      <c r="AR63" s="10"/>
      <c r="AS63" s="10">
        <v>1335</v>
      </c>
      <c r="AT63" s="10">
        <v>383813</v>
      </c>
      <c r="AU63" s="10">
        <v>365948</v>
      </c>
      <c r="AV63" s="10">
        <v>363446</v>
      </c>
      <c r="AW63" s="10">
        <v>353719</v>
      </c>
      <c r="AX63" s="10"/>
      <c r="AY63" s="10">
        <v>-265480</v>
      </c>
      <c r="AZ63" s="10">
        <v>4469820</v>
      </c>
      <c r="BA63" s="10">
        <v>3722334</v>
      </c>
      <c r="BB63" s="10">
        <v>63361</v>
      </c>
      <c r="BC63" s="10">
        <v>68005</v>
      </c>
      <c r="BD63" s="10"/>
      <c r="BE63" s="10"/>
      <c r="BF63" s="10">
        <v>869190</v>
      </c>
      <c r="BG63" s="10">
        <v>768655</v>
      </c>
      <c r="BH63" s="10">
        <v>4680930</v>
      </c>
      <c r="BI63" s="10">
        <v>3816759</v>
      </c>
      <c r="BJ63" s="10">
        <v>0</v>
      </c>
      <c r="BK63" s="10">
        <v>2691729</v>
      </c>
      <c r="BL63" s="108">
        <v>6459536</v>
      </c>
      <c r="BM63" s="108">
        <v>5938065</v>
      </c>
      <c r="BN63" s="10"/>
      <c r="BO63" s="10">
        <v>476279</v>
      </c>
      <c r="BP63" s="88">
        <f t="shared" si="11"/>
        <v>20884784</v>
      </c>
      <c r="BQ63" s="88">
        <f t="shared" si="12"/>
        <v>25231118.348000001</v>
      </c>
    </row>
    <row r="64" spans="1:69" x14ac:dyDescent="0.25">
      <c r="A64" s="26" t="s">
        <v>284</v>
      </c>
      <c r="B64" s="10"/>
      <c r="C64" s="10"/>
      <c r="D64" s="10"/>
      <c r="E64" s="10"/>
      <c r="F64" s="10"/>
      <c r="G64" s="10"/>
      <c r="H64" s="10">
        <v>296729</v>
      </c>
      <c r="I64" s="10">
        <v>588198</v>
      </c>
      <c r="J64" s="10"/>
      <c r="K64" s="10"/>
      <c r="L64" s="10">
        <v>167680</v>
      </c>
      <c r="M64" s="10">
        <v>240520</v>
      </c>
      <c r="N64" s="10"/>
      <c r="O64" s="10"/>
      <c r="P64" s="10">
        <v>4406</v>
      </c>
      <c r="Q64" s="10">
        <v>-15703</v>
      </c>
      <c r="R64" s="10"/>
      <c r="S64" s="10"/>
      <c r="T64" s="10"/>
      <c r="U64" s="10"/>
      <c r="V64" s="10">
        <v>702793</v>
      </c>
      <c r="W64" s="10">
        <v>1472827</v>
      </c>
      <c r="X64" s="10">
        <v>68453</v>
      </c>
      <c r="Y64" s="10">
        <v>134118</v>
      </c>
      <c r="Z64" s="10">
        <v>379741</v>
      </c>
      <c r="AA64" s="10">
        <v>881549</v>
      </c>
      <c r="AB64" s="10">
        <v>240484</v>
      </c>
      <c r="AC64" s="10">
        <v>283125</v>
      </c>
      <c r="AD64" s="10">
        <v>27078</v>
      </c>
      <c r="AE64" s="10">
        <v>35497</v>
      </c>
      <c r="AF64" s="10">
        <v>36441</v>
      </c>
      <c r="AG64" s="10">
        <v>69862</v>
      </c>
      <c r="AH64" s="10">
        <v>5322</v>
      </c>
      <c r="AI64" s="10">
        <v>9409</v>
      </c>
      <c r="AJ64" s="10">
        <v>-1523</v>
      </c>
      <c r="AK64" s="10">
        <v>559</v>
      </c>
      <c r="AL64" s="10">
        <v>6210</v>
      </c>
      <c r="AM64" s="10">
        <v>28485</v>
      </c>
      <c r="AN64" s="10"/>
      <c r="AO64" s="10"/>
      <c r="AP64" s="10">
        <v>11589</v>
      </c>
      <c r="AQ64" s="10">
        <v>19783</v>
      </c>
      <c r="AR64" s="10">
        <v>216</v>
      </c>
      <c r="AS64" s="10">
        <v>322</v>
      </c>
      <c r="AT64" s="10"/>
      <c r="AU64" s="10"/>
      <c r="AV64" s="10">
        <v>139306</v>
      </c>
      <c r="AW64" s="10">
        <v>202100</v>
      </c>
      <c r="AX64" s="10">
        <v>47648</v>
      </c>
      <c r="AY64" s="10">
        <v>99004</v>
      </c>
      <c r="AZ64" s="10"/>
      <c r="BA64" s="10"/>
      <c r="BB64" s="10"/>
      <c r="BC64" s="10"/>
      <c r="BD64" s="10"/>
      <c r="BE64" s="10"/>
      <c r="BF64" s="10">
        <v>102549</v>
      </c>
      <c r="BG64" s="10">
        <v>265239</v>
      </c>
      <c r="BH64" s="10">
        <v>1171072</v>
      </c>
      <c r="BI64" s="10">
        <v>2473550</v>
      </c>
      <c r="BJ64" s="10">
        <v>453998</v>
      </c>
      <c r="BK64" s="10">
        <v>895916</v>
      </c>
      <c r="BL64" s="108">
        <v>2022113</v>
      </c>
      <c r="BM64" s="108">
        <v>3295718</v>
      </c>
      <c r="BN64" s="10">
        <v>241425</v>
      </c>
      <c r="BO64" s="10">
        <v>472400</v>
      </c>
      <c r="BP64" s="88">
        <f t="shared" si="11"/>
        <v>6123730</v>
      </c>
      <c r="BQ64" s="88">
        <f t="shared" si="12"/>
        <v>11452478</v>
      </c>
    </row>
    <row r="65" spans="1:69" x14ac:dyDescent="0.25">
      <c r="A65" s="26" t="s">
        <v>276</v>
      </c>
      <c r="B65" s="10"/>
      <c r="C65" s="10"/>
      <c r="D65" s="10"/>
      <c r="E65" s="10"/>
      <c r="F65" s="10"/>
      <c r="G65" s="10"/>
      <c r="H65" s="10"/>
      <c r="I65" s="10">
        <v>3489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>
        <v>1</v>
      </c>
      <c r="AC65" s="10">
        <v>5989</v>
      </c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>
        <v>14132</v>
      </c>
      <c r="AY65" s="10">
        <v>15209</v>
      </c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>
        <v>37073</v>
      </c>
      <c r="BK65" s="10">
        <v>37192</v>
      </c>
      <c r="BL65" s="108">
        <v>121</v>
      </c>
      <c r="BM65" s="108">
        <v>802</v>
      </c>
      <c r="BN65" s="10"/>
      <c r="BO65" s="10"/>
      <c r="BP65" s="88">
        <f t="shared" si="11"/>
        <v>51327</v>
      </c>
      <c r="BQ65" s="88">
        <f t="shared" si="12"/>
        <v>62681</v>
      </c>
    </row>
    <row r="66" spans="1:69" x14ac:dyDescent="0.25">
      <c r="A66" s="26" t="s">
        <v>277</v>
      </c>
      <c r="B66" s="10">
        <v>215</v>
      </c>
      <c r="C66" s="10">
        <v>244</v>
      </c>
      <c r="D66" s="10">
        <v>1935</v>
      </c>
      <c r="E66" s="10">
        <v>2168</v>
      </c>
      <c r="F66" s="10"/>
      <c r="G66" s="10"/>
      <c r="H66" s="10">
        <v>11787</v>
      </c>
      <c r="I66" s="10">
        <v>22056</v>
      </c>
      <c r="J66" s="10">
        <v>1404</v>
      </c>
      <c r="K66" s="10">
        <v>1920</v>
      </c>
      <c r="L66" s="10">
        <v>39243</v>
      </c>
      <c r="M66" s="10">
        <v>48004</v>
      </c>
      <c r="N66" s="10"/>
      <c r="O66" s="10"/>
      <c r="P66" s="10">
        <v>3118</v>
      </c>
      <c r="Q66" s="10">
        <v>-20008</v>
      </c>
      <c r="R66" s="10">
        <v>8431</v>
      </c>
      <c r="S66" s="10">
        <v>10253</v>
      </c>
      <c r="T66" s="10">
        <v>274</v>
      </c>
      <c r="U66" s="10">
        <v>109</v>
      </c>
      <c r="V66" s="10"/>
      <c r="W66" s="10"/>
      <c r="X66" s="10">
        <v>2192</v>
      </c>
      <c r="Y66" s="10">
        <v>2796</v>
      </c>
      <c r="Z66" s="10"/>
      <c r="AA66" s="10"/>
      <c r="AB66" s="10">
        <v>108437</v>
      </c>
      <c r="AC66" s="10">
        <v>114797</v>
      </c>
      <c r="AD66" s="10">
        <v>21110</v>
      </c>
      <c r="AE66" s="10">
        <v>24676</v>
      </c>
      <c r="AF66" s="10">
        <v>1870</v>
      </c>
      <c r="AG66" s="10">
        <v>2706</v>
      </c>
      <c r="AH66" s="10"/>
      <c r="AI66" s="10"/>
      <c r="AJ66" s="10">
        <v>289</v>
      </c>
      <c r="AK66" s="10">
        <v>551</v>
      </c>
      <c r="AL66" s="10">
        <v>1663</v>
      </c>
      <c r="AM66" s="10">
        <v>2770</v>
      </c>
      <c r="AN66" s="10">
        <v>50865.350999999995</v>
      </c>
      <c r="AO66" s="10">
        <v>59595.665999999997</v>
      </c>
      <c r="AP66" s="10"/>
      <c r="AQ66" s="10"/>
      <c r="AR66" s="10">
        <v>93</v>
      </c>
      <c r="AS66" s="10">
        <v>93</v>
      </c>
      <c r="AT66" s="10">
        <v>6102</v>
      </c>
      <c r="AU66" s="10">
        <v>8849</v>
      </c>
      <c r="AV66" s="10">
        <v>9191</v>
      </c>
      <c r="AW66" s="10">
        <v>17357</v>
      </c>
      <c r="AX66" s="10">
        <v>-10838</v>
      </c>
      <c r="AY66" s="10">
        <v>-11940</v>
      </c>
      <c r="AZ66" s="10">
        <v>22404</v>
      </c>
      <c r="BA66" s="10">
        <v>28558</v>
      </c>
      <c r="BB66" s="10">
        <v>114643</v>
      </c>
      <c r="BC66" s="10">
        <v>170765</v>
      </c>
      <c r="BD66" s="10"/>
      <c r="BE66" s="10"/>
      <c r="BF66" s="10">
        <v>7047</v>
      </c>
      <c r="BG66" s="10">
        <v>10354</v>
      </c>
      <c r="BH66" s="10"/>
      <c r="BI66" s="10"/>
      <c r="BJ66" s="10">
        <v>-26784</v>
      </c>
      <c r="BK66" s="10">
        <v>13342</v>
      </c>
      <c r="BL66" s="108">
        <v>1196826</v>
      </c>
      <c r="BM66" s="108">
        <v>2140685</v>
      </c>
      <c r="BN66" s="10">
        <v>8240</v>
      </c>
      <c r="BO66" s="10">
        <v>12276</v>
      </c>
      <c r="BP66" s="88">
        <f t="shared" si="11"/>
        <v>1579757.351</v>
      </c>
      <c r="BQ66" s="88">
        <f t="shared" si="12"/>
        <v>2662976.6660000002</v>
      </c>
    </row>
    <row r="67" spans="1:69" x14ac:dyDescent="0.25">
      <c r="A67" s="26" t="s">
        <v>273</v>
      </c>
      <c r="B67" s="10">
        <v>15730</v>
      </c>
      <c r="C67" s="10">
        <v>20110</v>
      </c>
      <c r="D67" s="10">
        <v>-10072</v>
      </c>
      <c r="E67" s="10">
        <v>35575</v>
      </c>
      <c r="F67" s="10"/>
      <c r="G67" s="10"/>
      <c r="H67" s="10">
        <v>284942</v>
      </c>
      <c r="I67" s="10">
        <v>569631</v>
      </c>
      <c r="J67" s="10">
        <v>44716</v>
      </c>
      <c r="K67" s="10">
        <v>88243</v>
      </c>
      <c r="L67" s="10">
        <v>128437</v>
      </c>
      <c r="M67" s="10">
        <v>192516</v>
      </c>
      <c r="N67" s="10"/>
      <c r="O67" s="10"/>
      <c r="P67" s="10">
        <v>1288</v>
      </c>
      <c r="Q67" s="10">
        <v>4305</v>
      </c>
      <c r="R67" s="10">
        <v>31020</v>
      </c>
      <c r="S67" s="10">
        <v>80042</v>
      </c>
      <c r="T67" s="10">
        <v>12101</v>
      </c>
      <c r="U67" s="10">
        <v>27621</v>
      </c>
      <c r="V67" s="10">
        <v>517478</v>
      </c>
      <c r="W67" s="10">
        <v>969439</v>
      </c>
      <c r="X67" s="10">
        <v>66261</v>
      </c>
      <c r="Y67" s="10">
        <v>131322</v>
      </c>
      <c r="Z67" s="10">
        <v>324967</v>
      </c>
      <c r="AA67" s="10">
        <v>730284</v>
      </c>
      <c r="AB67" s="10">
        <v>132048</v>
      </c>
      <c r="AC67" s="10">
        <v>174317</v>
      </c>
      <c r="AD67" s="10">
        <v>5968</v>
      </c>
      <c r="AE67" s="10">
        <v>10821</v>
      </c>
      <c r="AF67" s="10">
        <v>34621</v>
      </c>
      <c r="AG67" s="10">
        <v>66372</v>
      </c>
      <c r="AH67" s="10">
        <v>5833</v>
      </c>
      <c r="AI67" s="10">
        <v>11400</v>
      </c>
      <c r="AJ67" s="10">
        <v>-1812</v>
      </c>
      <c r="AK67" s="10">
        <v>9</v>
      </c>
      <c r="AL67" s="10">
        <v>4548</v>
      </c>
      <c r="AM67" s="10">
        <v>25715</v>
      </c>
      <c r="AN67" s="10">
        <v>513964.31557673763</v>
      </c>
      <c r="AO67" s="10">
        <v>818567.17730892333</v>
      </c>
      <c r="AP67" s="10">
        <v>5817</v>
      </c>
      <c r="AQ67" s="10">
        <v>10365</v>
      </c>
      <c r="AR67" s="10">
        <v>123</v>
      </c>
      <c r="AS67" s="10">
        <v>229</v>
      </c>
      <c r="AT67" s="10">
        <v>68568</v>
      </c>
      <c r="AU67" s="10">
        <v>98301</v>
      </c>
      <c r="AV67" s="10">
        <v>130115</v>
      </c>
      <c r="AW67" s="10">
        <v>184743</v>
      </c>
      <c r="AX67" s="10">
        <v>38357</v>
      </c>
      <c r="AY67" s="10">
        <v>88958</v>
      </c>
      <c r="AZ67" s="10">
        <v>959941</v>
      </c>
      <c r="BA67" s="10">
        <v>1814494</v>
      </c>
      <c r="BB67" s="10">
        <v>707</v>
      </c>
      <c r="BC67" s="10">
        <v>652</v>
      </c>
      <c r="BD67" s="10"/>
      <c r="BE67" s="10"/>
      <c r="BF67" s="10">
        <v>95502</v>
      </c>
      <c r="BG67" s="10">
        <v>254885</v>
      </c>
      <c r="BH67" s="10">
        <v>1105055</v>
      </c>
      <c r="BI67" s="10">
        <v>2370117</v>
      </c>
      <c r="BJ67" s="10">
        <v>517855</v>
      </c>
      <c r="BK67" s="10">
        <v>919766</v>
      </c>
      <c r="BL67" s="108">
        <v>825408</v>
      </c>
      <c r="BM67" s="108">
        <v>1155835</v>
      </c>
      <c r="BN67" s="10">
        <v>233185</v>
      </c>
      <c r="BO67" s="10">
        <v>460124</v>
      </c>
      <c r="BP67" s="88" t="e">
        <f>SUM(B67+D67+F67+H67+J67+L67+N67+P67+R67+T67+V67+X67+Z67+AB67+AD67+AF67+AH67+AJ67+AL67+AN67+AP67+AR67+AT67+AV67+#REF!+AZ67+BB67+BD67+BF67+BH67+BJ67+BL67+BN67)</f>
        <v>#REF!</v>
      </c>
      <c r="BQ67" s="88" t="e">
        <f>SUM(C67+E67+G67+I67+K67+M67+O67+Q67+S67+U67+W67+Y67+AA67+AC67+AE67+AG67+AI67+AK67+AM67+AO67+AQ67+AS67+AU67+AW67+#REF!+BA67+BC67+BE67+BG67+BI67+BK67+BM67+BO67)</f>
        <v>#REF!</v>
      </c>
    </row>
    <row r="68" spans="1:69" x14ac:dyDescent="0.25">
      <c r="A68" s="18"/>
    </row>
    <row r="69" spans="1:69" x14ac:dyDescent="0.25">
      <c r="A69" s="33" t="s">
        <v>222</v>
      </c>
    </row>
    <row r="70" spans="1:69" x14ac:dyDescent="0.25">
      <c r="A70" s="3" t="s">
        <v>0</v>
      </c>
      <c r="B70" s="116" t="s">
        <v>1</v>
      </c>
      <c r="C70" s="117"/>
      <c r="D70" s="116" t="s">
        <v>285</v>
      </c>
      <c r="E70" s="117"/>
      <c r="F70" s="116" t="s">
        <v>2</v>
      </c>
      <c r="G70" s="117"/>
      <c r="H70" s="116" t="s">
        <v>3</v>
      </c>
      <c r="I70" s="117"/>
      <c r="J70" s="116" t="s">
        <v>4</v>
      </c>
      <c r="K70" s="117"/>
      <c r="L70" s="116" t="s">
        <v>286</v>
      </c>
      <c r="M70" s="117"/>
      <c r="N70" s="116" t="s">
        <v>6</v>
      </c>
      <c r="O70" s="117"/>
      <c r="P70" s="116" t="s">
        <v>5</v>
      </c>
      <c r="Q70" s="117"/>
      <c r="R70" s="116" t="s">
        <v>7</v>
      </c>
      <c r="S70" s="117"/>
      <c r="T70" s="116" t="s">
        <v>287</v>
      </c>
      <c r="U70" s="117"/>
      <c r="V70" s="116" t="s">
        <v>8</v>
      </c>
      <c r="W70" s="117"/>
      <c r="X70" s="116" t="s">
        <v>288</v>
      </c>
      <c r="Y70" s="117"/>
      <c r="Z70" s="116" t="s">
        <v>9</v>
      </c>
      <c r="AA70" s="117"/>
      <c r="AB70" s="116" t="s">
        <v>10</v>
      </c>
      <c r="AC70" s="117"/>
      <c r="AD70" s="116" t="s">
        <v>289</v>
      </c>
      <c r="AE70" s="117"/>
      <c r="AF70" s="116" t="s">
        <v>11</v>
      </c>
      <c r="AG70" s="117"/>
      <c r="AH70" s="116" t="s">
        <v>12</v>
      </c>
      <c r="AI70" s="117"/>
      <c r="AJ70" s="116" t="s">
        <v>290</v>
      </c>
      <c r="AK70" s="117"/>
      <c r="AL70" s="116" t="s">
        <v>299</v>
      </c>
      <c r="AM70" s="117"/>
      <c r="AN70" s="116" t="s">
        <v>13</v>
      </c>
      <c r="AO70" s="117"/>
      <c r="AP70" s="116" t="s">
        <v>291</v>
      </c>
      <c r="AQ70" s="117"/>
      <c r="AR70" s="116" t="s">
        <v>292</v>
      </c>
      <c r="AS70" s="117"/>
      <c r="AT70" s="116" t="s">
        <v>307</v>
      </c>
      <c r="AU70" s="117"/>
      <c r="AV70" s="116" t="s">
        <v>293</v>
      </c>
      <c r="AW70" s="117"/>
      <c r="AX70" s="116" t="s">
        <v>14</v>
      </c>
      <c r="AY70" s="117"/>
      <c r="AZ70" s="116" t="s">
        <v>15</v>
      </c>
      <c r="BA70" s="117"/>
      <c r="BB70" s="116" t="s">
        <v>16</v>
      </c>
      <c r="BC70" s="117"/>
      <c r="BD70" s="116" t="s">
        <v>17</v>
      </c>
      <c r="BE70" s="117"/>
      <c r="BF70" s="116" t="s">
        <v>18</v>
      </c>
      <c r="BG70" s="117"/>
      <c r="BH70" s="116" t="s">
        <v>294</v>
      </c>
      <c r="BI70" s="117"/>
      <c r="BJ70" s="116" t="s">
        <v>295</v>
      </c>
      <c r="BK70" s="117"/>
      <c r="BL70" s="116" t="s">
        <v>19</v>
      </c>
      <c r="BM70" s="117"/>
      <c r="BN70" s="116" t="s">
        <v>20</v>
      </c>
      <c r="BO70" s="117"/>
      <c r="BP70" s="118" t="s">
        <v>21</v>
      </c>
      <c r="BQ70" s="119"/>
    </row>
    <row r="71" spans="1:69" ht="30" x14ac:dyDescent="0.25">
      <c r="A71" s="3"/>
      <c r="B71" s="67" t="s">
        <v>296</v>
      </c>
      <c r="C71" s="68" t="s">
        <v>297</v>
      </c>
      <c r="D71" s="67" t="s">
        <v>296</v>
      </c>
      <c r="E71" s="68" t="s">
        <v>297</v>
      </c>
      <c r="F71" s="67" t="s">
        <v>296</v>
      </c>
      <c r="G71" s="68" t="s">
        <v>297</v>
      </c>
      <c r="H71" s="67" t="s">
        <v>296</v>
      </c>
      <c r="I71" s="68" t="s">
        <v>297</v>
      </c>
      <c r="J71" s="67" t="s">
        <v>296</v>
      </c>
      <c r="K71" s="68" t="s">
        <v>297</v>
      </c>
      <c r="L71" s="67" t="s">
        <v>296</v>
      </c>
      <c r="M71" s="68" t="s">
        <v>297</v>
      </c>
      <c r="N71" s="67" t="s">
        <v>296</v>
      </c>
      <c r="O71" s="68" t="s">
        <v>297</v>
      </c>
      <c r="P71" s="67" t="s">
        <v>296</v>
      </c>
      <c r="Q71" s="68" t="s">
        <v>297</v>
      </c>
      <c r="R71" s="67" t="s">
        <v>296</v>
      </c>
      <c r="S71" s="68" t="s">
        <v>297</v>
      </c>
      <c r="T71" s="67" t="s">
        <v>296</v>
      </c>
      <c r="U71" s="68" t="s">
        <v>297</v>
      </c>
      <c r="V71" s="67" t="s">
        <v>296</v>
      </c>
      <c r="W71" s="68" t="s">
        <v>297</v>
      </c>
      <c r="X71" s="67" t="s">
        <v>296</v>
      </c>
      <c r="Y71" s="68" t="s">
        <v>297</v>
      </c>
      <c r="Z71" s="67" t="s">
        <v>296</v>
      </c>
      <c r="AA71" s="68" t="s">
        <v>297</v>
      </c>
      <c r="AB71" s="67" t="s">
        <v>296</v>
      </c>
      <c r="AC71" s="68" t="s">
        <v>297</v>
      </c>
      <c r="AD71" s="67" t="s">
        <v>296</v>
      </c>
      <c r="AE71" s="68" t="s">
        <v>297</v>
      </c>
      <c r="AF71" s="67" t="s">
        <v>296</v>
      </c>
      <c r="AG71" s="68" t="s">
        <v>297</v>
      </c>
      <c r="AH71" s="67" t="s">
        <v>296</v>
      </c>
      <c r="AI71" s="68" t="s">
        <v>297</v>
      </c>
      <c r="AJ71" s="67" t="s">
        <v>296</v>
      </c>
      <c r="AK71" s="68" t="s">
        <v>297</v>
      </c>
      <c r="AL71" s="67" t="s">
        <v>296</v>
      </c>
      <c r="AM71" s="68" t="s">
        <v>297</v>
      </c>
      <c r="AN71" s="67" t="s">
        <v>296</v>
      </c>
      <c r="AO71" s="68" t="s">
        <v>297</v>
      </c>
      <c r="AP71" s="67" t="s">
        <v>296</v>
      </c>
      <c r="AQ71" s="68" t="s">
        <v>297</v>
      </c>
      <c r="AR71" s="67" t="s">
        <v>296</v>
      </c>
      <c r="AS71" s="68" t="s">
        <v>297</v>
      </c>
      <c r="AT71" s="67" t="s">
        <v>296</v>
      </c>
      <c r="AU71" s="68" t="s">
        <v>297</v>
      </c>
      <c r="AV71" s="67" t="s">
        <v>296</v>
      </c>
      <c r="AW71" s="68" t="s">
        <v>297</v>
      </c>
      <c r="AX71" s="67" t="s">
        <v>296</v>
      </c>
      <c r="AY71" s="68" t="s">
        <v>297</v>
      </c>
      <c r="AZ71" s="67" t="s">
        <v>296</v>
      </c>
      <c r="BA71" s="68" t="s">
        <v>297</v>
      </c>
      <c r="BB71" s="67" t="s">
        <v>296</v>
      </c>
      <c r="BC71" s="68" t="s">
        <v>297</v>
      </c>
      <c r="BD71" s="67" t="s">
        <v>296</v>
      </c>
      <c r="BE71" s="68" t="s">
        <v>297</v>
      </c>
      <c r="BF71" s="67" t="s">
        <v>296</v>
      </c>
      <c r="BG71" s="68" t="s">
        <v>297</v>
      </c>
      <c r="BH71" s="67" t="s">
        <v>296</v>
      </c>
      <c r="BI71" s="68" t="s">
        <v>297</v>
      </c>
      <c r="BJ71" s="67" t="s">
        <v>296</v>
      </c>
      <c r="BK71" s="68" t="s">
        <v>297</v>
      </c>
      <c r="BL71" s="67" t="s">
        <v>296</v>
      </c>
      <c r="BM71" s="68" t="s">
        <v>297</v>
      </c>
      <c r="BN71" s="67" t="s">
        <v>296</v>
      </c>
      <c r="BO71" s="68" t="s">
        <v>297</v>
      </c>
      <c r="BP71" s="84" t="s">
        <v>280</v>
      </c>
      <c r="BQ71" s="85" t="s">
        <v>281</v>
      </c>
    </row>
    <row r="72" spans="1:69" x14ac:dyDescent="0.25">
      <c r="A72" s="26" t="s">
        <v>228</v>
      </c>
      <c r="B72" s="10">
        <v>96406</v>
      </c>
      <c r="C72" s="10">
        <v>146198</v>
      </c>
      <c r="D72" s="10"/>
      <c r="E72" s="10"/>
      <c r="F72" s="10"/>
      <c r="G72" s="10"/>
      <c r="H72" s="10">
        <v>36734</v>
      </c>
      <c r="I72" s="10">
        <v>89681</v>
      </c>
      <c r="J72" s="10">
        <v>2445</v>
      </c>
      <c r="K72" s="10">
        <v>2693</v>
      </c>
      <c r="L72" s="10">
        <v>1221</v>
      </c>
      <c r="M72" s="10">
        <v>2274</v>
      </c>
      <c r="N72" s="10"/>
      <c r="O72" s="10"/>
      <c r="P72" s="10"/>
      <c r="Q72" s="10"/>
      <c r="R72" s="10">
        <v>4930</v>
      </c>
      <c r="S72" s="10">
        <v>5263</v>
      </c>
      <c r="T72" s="10"/>
      <c r="U72" s="10"/>
      <c r="V72" s="10">
        <v>33</v>
      </c>
      <c r="W72" s="10">
        <v>36</v>
      </c>
      <c r="X72" s="10"/>
      <c r="Y72" s="10"/>
      <c r="Z72" s="10">
        <v>22609</v>
      </c>
      <c r="AA72" s="10">
        <v>36880</v>
      </c>
      <c r="AB72" s="10">
        <v>4586</v>
      </c>
      <c r="AC72" s="10">
        <v>5839</v>
      </c>
      <c r="AD72" s="10"/>
      <c r="AE72" s="10"/>
      <c r="AF72" s="10">
        <v>1</v>
      </c>
      <c r="AG72" s="10">
        <v>230</v>
      </c>
      <c r="AH72" s="10"/>
      <c r="AI72" s="10"/>
      <c r="AJ72" s="10"/>
      <c r="AK72" s="10"/>
      <c r="AL72" s="10"/>
      <c r="AM72" s="10"/>
      <c r="AN72" s="10">
        <v>7743.7079999999996</v>
      </c>
      <c r="AO72" s="10">
        <v>13650.545</v>
      </c>
      <c r="AP72" s="10"/>
      <c r="AQ72" s="10"/>
      <c r="AR72" s="10"/>
      <c r="AS72" s="10">
        <v>2001</v>
      </c>
      <c r="AT72" s="10">
        <v>19742</v>
      </c>
      <c r="AU72" s="10">
        <v>19745</v>
      </c>
      <c r="AV72" s="10"/>
      <c r="AW72" s="10"/>
      <c r="AX72" s="10">
        <v>1503</v>
      </c>
      <c r="AY72" s="10">
        <v>1503</v>
      </c>
      <c r="AZ72" s="10">
        <v>1053</v>
      </c>
      <c r="BA72" s="10">
        <v>2802</v>
      </c>
      <c r="BB72" s="10"/>
      <c r="BC72" s="10"/>
      <c r="BD72" s="10"/>
      <c r="BE72" s="10"/>
      <c r="BF72" s="10">
        <v>221932</v>
      </c>
      <c r="BG72" s="10">
        <v>962196</v>
      </c>
      <c r="BH72" s="10">
        <v>431228</v>
      </c>
      <c r="BI72" s="10">
        <v>824269</v>
      </c>
      <c r="BJ72" s="10">
        <v>26040</v>
      </c>
      <c r="BK72" s="10">
        <v>30083</v>
      </c>
      <c r="BL72" s="108">
        <v>54087</v>
      </c>
      <c r="BM72" s="108">
        <v>67668</v>
      </c>
      <c r="BN72" s="10"/>
      <c r="BO72" s="10"/>
      <c r="BP72" s="88">
        <f t="shared" ref="BP72:BP77" si="13">SUM(B72+D72+F72+H72+J72+L72+N72+P72+R72+T72+V72+X72+Z72+AB72+AD72+AF72+AH72+AJ72+AL72+AN72+AP72+AR72+AT72+AV72+AX72+AZ72+BB72+BD72+BF72+BH72+BJ72+BL72+BN72)</f>
        <v>932293.70799999998</v>
      </c>
      <c r="BQ72" s="88">
        <f t="shared" ref="BQ72:BQ77" si="14">SUM(C72+E72+G72+I72+K72+M72+O72+Q72+S72+U72+W72+Y72+AA72+AC72+AE72+AG72+AI72+AK72+AM72+AO72+AQ72+AS72+AU72+AW72+AY72+BA72+BC72+BE72+BG72+BI72+BK72+BM72+BO72)</f>
        <v>2213011.5449999999</v>
      </c>
    </row>
    <row r="73" spans="1:69" x14ac:dyDescent="0.25">
      <c r="A73" s="26" t="s">
        <v>279</v>
      </c>
      <c r="B73" s="10">
        <v>38621</v>
      </c>
      <c r="C73" s="10">
        <v>38621</v>
      </c>
      <c r="D73" s="10"/>
      <c r="E73" s="10"/>
      <c r="F73" s="10"/>
      <c r="G73" s="10"/>
      <c r="H73" s="10">
        <v>8485</v>
      </c>
      <c r="I73" s="10">
        <v>107276</v>
      </c>
      <c r="J73" s="10">
        <v>29743</v>
      </c>
      <c r="K73" s="10">
        <v>255225</v>
      </c>
      <c r="L73" s="10">
        <v>20022</v>
      </c>
      <c r="M73" s="10">
        <v>20022</v>
      </c>
      <c r="N73" s="10"/>
      <c r="O73" s="10"/>
      <c r="P73" s="10"/>
      <c r="Q73" s="10"/>
      <c r="R73" s="10">
        <v>34303</v>
      </c>
      <c r="S73" s="10">
        <v>34303</v>
      </c>
      <c r="T73" s="10"/>
      <c r="U73" s="10"/>
      <c r="V73" s="10">
        <v>19108</v>
      </c>
      <c r="W73" s="10">
        <v>19108</v>
      </c>
      <c r="X73" s="10"/>
      <c r="Y73" s="10"/>
      <c r="Z73" s="10">
        <v>592938</v>
      </c>
      <c r="AA73" s="10">
        <v>592938</v>
      </c>
      <c r="AB73" s="10">
        <v>45832</v>
      </c>
      <c r="AC73" s="10">
        <v>263157</v>
      </c>
      <c r="AD73" s="10"/>
      <c r="AE73" s="10"/>
      <c r="AF73" s="10">
        <v>42088</v>
      </c>
      <c r="AG73" s="10">
        <v>42088</v>
      </c>
      <c r="AH73" s="10">
        <v>6297</v>
      </c>
      <c r="AI73" s="10">
        <v>6297</v>
      </c>
      <c r="AJ73" s="10"/>
      <c r="AK73" s="10"/>
      <c r="AL73" s="10"/>
      <c r="AM73" s="10"/>
      <c r="AN73" s="10">
        <v>192878.99838640378</v>
      </c>
      <c r="AO73" s="10">
        <v>770302.25450703467</v>
      </c>
      <c r="AP73" s="10"/>
      <c r="AQ73" s="10"/>
      <c r="AR73" s="10">
        <v>-1202</v>
      </c>
      <c r="AS73" s="10">
        <v>54749</v>
      </c>
      <c r="AT73" s="10">
        <v>187742</v>
      </c>
      <c r="AU73" s="10">
        <v>187742</v>
      </c>
      <c r="AV73" s="10"/>
      <c r="AW73" s="10"/>
      <c r="AX73" s="10">
        <v>-2659</v>
      </c>
      <c r="AY73" s="10">
        <v>28051</v>
      </c>
      <c r="AZ73" s="10">
        <v>54177</v>
      </c>
      <c r="BA73" s="10">
        <v>54177</v>
      </c>
      <c r="BB73" s="10">
        <v>5833</v>
      </c>
      <c r="BC73" s="10">
        <v>5833</v>
      </c>
      <c r="BD73" s="10"/>
      <c r="BE73" s="10"/>
      <c r="BF73" s="10">
        <v>2406469</v>
      </c>
      <c r="BG73" s="10">
        <v>2406469</v>
      </c>
      <c r="BH73" s="10">
        <v>6852864</v>
      </c>
      <c r="BI73" s="10">
        <v>6852864</v>
      </c>
      <c r="BJ73" s="10">
        <v>9845</v>
      </c>
      <c r="BK73" s="10">
        <v>1423163</v>
      </c>
      <c r="BL73" s="108">
        <v>2229391</v>
      </c>
      <c r="BM73" s="108">
        <v>2229391</v>
      </c>
      <c r="BN73" s="10">
        <v>-276</v>
      </c>
      <c r="BO73" s="10">
        <v>2895</v>
      </c>
      <c r="BP73" s="88">
        <f t="shared" si="13"/>
        <v>12772499.998386404</v>
      </c>
      <c r="BQ73" s="88">
        <f t="shared" si="14"/>
        <v>15394671.254507035</v>
      </c>
    </row>
    <row r="74" spans="1:69" x14ac:dyDescent="0.25">
      <c r="A74" s="26" t="s">
        <v>278</v>
      </c>
      <c r="B74" s="10">
        <v>29253</v>
      </c>
      <c r="C74" s="10">
        <v>23787</v>
      </c>
      <c r="D74" s="10"/>
      <c r="E74" s="10"/>
      <c r="F74" s="10"/>
      <c r="G74" s="10"/>
      <c r="H74" s="10"/>
      <c r="I74" s="10">
        <v>88157</v>
      </c>
      <c r="J74" s="10"/>
      <c r="K74" s="10">
        <v>214107</v>
      </c>
      <c r="L74" s="10">
        <v>17468</v>
      </c>
      <c r="M74" s="10">
        <v>15312</v>
      </c>
      <c r="N74" s="10"/>
      <c r="O74" s="10"/>
      <c r="P74" s="10"/>
      <c r="Q74" s="10">
        <v>992</v>
      </c>
      <c r="R74" s="10">
        <v>32358</v>
      </c>
      <c r="S74" s="10">
        <v>31634</v>
      </c>
      <c r="T74" s="10"/>
      <c r="U74" s="10"/>
      <c r="V74" s="10">
        <v>-17926</v>
      </c>
      <c r="W74" s="10">
        <v>-11587</v>
      </c>
      <c r="X74" s="10"/>
      <c r="Y74" s="10"/>
      <c r="Z74" s="10">
        <v>525368</v>
      </c>
      <c r="AA74" s="10">
        <v>495362</v>
      </c>
      <c r="AB74" s="10"/>
      <c r="AC74" s="10">
        <v>191339</v>
      </c>
      <c r="AD74" s="10"/>
      <c r="AE74" s="10"/>
      <c r="AF74" s="10">
        <v>35925</v>
      </c>
      <c r="AG74" s="10">
        <v>29002</v>
      </c>
      <c r="AH74" s="10">
        <v>-6291</v>
      </c>
      <c r="AI74" s="10">
        <v>-2250</v>
      </c>
      <c r="AJ74" s="10"/>
      <c r="AK74" s="10"/>
      <c r="AL74" s="10"/>
      <c r="AM74" s="10"/>
      <c r="AN74" s="10"/>
      <c r="AO74" s="10">
        <v>538585.83700000006</v>
      </c>
      <c r="AP74" s="10"/>
      <c r="AQ74" s="10"/>
      <c r="AR74" s="10"/>
      <c r="AS74" s="10">
        <v>50692</v>
      </c>
      <c r="AT74" s="10">
        <v>187589</v>
      </c>
      <c r="AU74" s="10">
        <v>222340</v>
      </c>
      <c r="AV74" s="10"/>
      <c r="AW74" s="10"/>
      <c r="AX74" s="10"/>
      <c r="AY74" s="10">
        <v>-26732</v>
      </c>
      <c r="AZ74" s="10">
        <v>46095</v>
      </c>
      <c r="BA74" s="10">
        <v>41301</v>
      </c>
      <c r="BB74" s="10">
        <v>5893</v>
      </c>
      <c r="BC74" s="10">
        <v>5975</v>
      </c>
      <c r="BD74" s="10"/>
      <c r="BE74" s="10"/>
      <c r="BF74" s="10">
        <v>2358118</v>
      </c>
      <c r="BG74" s="10">
        <v>2471050</v>
      </c>
      <c r="BH74" s="10">
        <v>6433077</v>
      </c>
      <c r="BI74" s="10">
        <v>6101689</v>
      </c>
      <c r="BJ74" s="10">
        <v>0</v>
      </c>
      <c r="BK74" s="10">
        <v>1398468</v>
      </c>
      <c r="BL74" s="108">
        <v>2460729</v>
      </c>
      <c r="BM74" s="108">
        <v>2278130</v>
      </c>
      <c r="BN74" s="10"/>
      <c r="BO74" s="10">
        <v>2781</v>
      </c>
      <c r="BP74" s="88">
        <f t="shared" si="13"/>
        <v>12107656</v>
      </c>
      <c r="BQ74" s="88">
        <f t="shared" si="14"/>
        <v>14160134.837000001</v>
      </c>
    </row>
    <row r="75" spans="1:69" x14ac:dyDescent="0.25">
      <c r="A75" s="26" t="s">
        <v>284</v>
      </c>
      <c r="B75" s="10"/>
      <c r="C75" s="10"/>
      <c r="D75" s="10"/>
      <c r="E75" s="10"/>
      <c r="F75" s="10"/>
      <c r="G75" s="10"/>
      <c r="H75" s="10">
        <v>45219</v>
      </c>
      <c r="I75" s="10">
        <v>108800</v>
      </c>
      <c r="J75" s="10"/>
      <c r="K75" s="10"/>
      <c r="L75" s="10">
        <v>3775</v>
      </c>
      <c r="M75" s="10">
        <v>6984</v>
      </c>
      <c r="N75" s="10"/>
      <c r="O75" s="10"/>
      <c r="P75" s="10"/>
      <c r="Q75" s="10">
        <v>-992</v>
      </c>
      <c r="R75" s="10"/>
      <c r="S75" s="10"/>
      <c r="T75" s="10"/>
      <c r="U75" s="10"/>
      <c r="V75" s="10">
        <v>1215</v>
      </c>
      <c r="W75" s="10">
        <v>7558</v>
      </c>
      <c r="X75" s="10"/>
      <c r="Y75" s="10"/>
      <c r="Z75" s="10">
        <v>90179</v>
      </c>
      <c r="AA75" s="10">
        <v>134456</v>
      </c>
      <c r="AB75" s="10">
        <v>50418</v>
      </c>
      <c r="AC75" s="10">
        <v>77657</v>
      </c>
      <c r="AD75" s="10"/>
      <c r="AE75" s="10"/>
      <c r="AF75" s="10">
        <v>6164</v>
      </c>
      <c r="AG75" s="10">
        <v>13315</v>
      </c>
      <c r="AH75" s="10">
        <v>6</v>
      </c>
      <c r="AI75" s="10">
        <v>4047</v>
      </c>
      <c r="AJ75" s="10"/>
      <c r="AK75" s="10"/>
      <c r="AL75" s="10"/>
      <c r="AM75" s="10"/>
      <c r="AN75" s="10"/>
      <c r="AO75" s="10"/>
      <c r="AP75" s="10"/>
      <c r="AQ75" s="10"/>
      <c r="AR75" s="10">
        <v>-1202</v>
      </c>
      <c r="AS75" s="10">
        <v>6058</v>
      </c>
      <c r="AT75" s="10"/>
      <c r="AU75" s="10"/>
      <c r="AV75" s="10"/>
      <c r="AW75" s="10"/>
      <c r="AX75" s="10">
        <v>-1156</v>
      </c>
      <c r="AY75" s="10">
        <v>2822</v>
      </c>
      <c r="AZ75" s="10"/>
      <c r="BA75" s="10"/>
      <c r="BB75" s="10"/>
      <c r="BC75" s="10"/>
      <c r="BD75" s="10"/>
      <c r="BE75" s="10"/>
      <c r="BF75" s="10">
        <v>270283</v>
      </c>
      <c r="BG75" s="10">
        <v>897615</v>
      </c>
      <c r="BH75" s="10">
        <v>851015</v>
      </c>
      <c r="BI75" s="10">
        <v>1575444</v>
      </c>
      <c r="BJ75" s="10">
        <v>35885</v>
      </c>
      <c r="BK75" s="10">
        <v>54778</v>
      </c>
      <c r="BL75" s="108">
        <v>-177251</v>
      </c>
      <c r="BM75" s="108">
        <v>18929</v>
      </c>
      <c r="BN75" s="10">
        <v>-276</v>
      </c>
      <c r="BO75" s="10">
        <v>114</v>
      </c>
      <c r="BP75" s="88">
        <f t="shared" si="13"/>
        <v>1174274</v>
      </c>
      <c r="BQ75" s="88">
        <f t="shared" si="14"/>
        <v>2907585</v>
      </c>
    </row>
    <row r="76" spans="1:69" x14ac:dyDescent="0.25">
      <c r="A76" s="26" t="s">
        <v>276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>
        <v>295</v>
      </c>
      <c r="AS76" s="10">
        <v>398</v>
      </c>
      <c r="AT76" s="10"/>
      <c r="AU76" s="10"/>
      <c r="AV76" s="10"/>
      <c r="AW76" s="10"/>
      <c r="AX76" s="10"/>
      <c r="AY76" s="10"/>
      <c r="AZ76" s="10">
        <v>405</v>
      </c>
      <c r="BA76" s="10">
        <v>405</v>
      </c>
      <c r="BB76" s="10"/>
      <c r="BC76" s="10"/>
      <c r="BD76" s="10"/>
      <c r="BE76" s="10"/>
      <c r="BF76" s="10">
        <v>187603</v>
      </c>
      <c r="BG76" s="10">
        <v>327728</v>
      </c>
      <c r="BH76" s="10"/>
      <c r="BI76" s="10"/>
      <c r="BJ76" s="10">
        <v>51612</v>
      </c>
      <c r="BK76" s="10">
        <v>51613</v>
      </c>
      <c r="BL76" s="108">
        <v>0</v>
      </c>
      <c r="BM76" s="108">
        <v>61562</v>
      </c>
      <c r="BN76" s="10"/>
      <c r="BO76" s="10"/>
      <c r="BP76" s="88">
        <f t="shared" si="13"/>
        <v>239915</v>
      </c>
      <c r="BQ76" s="88">
        <f t="shared" si="14"/>
        <v>441706</v>
      </c>
    </row>
    <row r="77" spans="1:69" x14ac:dyDescent="0.25">
      <c r="A77" s="26" t="s">
        <v>277</v>
      </c>
      <c r="B77" s="10">
        <v>62664</v>
      </c>
      <c r="C77" s="10">
        <v>95029</v>
      </c>
      <c r="D77" s="10"/>
      <c r="E77" s="10"/>
      <c r="F77" s="10"/>
      <c r="G77" s="10"/>
      <c r="H77" s="10">
        <v>35989</v>
      </c>
      <c r="I77" s="10">
        <v>88385</v>
      </c>
      <c r="J77" s="10">
        <v>227</v>
      </c>
      <c r="K77" s="10">
        <v>377</v>
      </c>
      <c r="L77" s="10">
        <v>1037</v>
      </c>
      <c r="M77" s="10">
        <v>1932</v>
      </c>
      <c r="N77" s="10"/>
      <c r="O77" s="10"/>
      <c r="P77" s="10"/>
      <c r="Q77" s="10">
        <v>-992</v>
      </c>
      <c r="R77" s="10">
        <v>1435</v>
      </c>
      <c r="S77" s="10">
        <v>1572</v>
      </c>
      <c r="T77" s="10"/>
      <c r="U77" s="10"/>
      <c r="V77" s="10"/>
      <c r="W77" s="10"/>
      <c r="X77" s="10"/>
      <c r="Y77" s="10"/>
      <c r="Z77" s="10"/>
      <c r="AA77" s="10"/>
      <c r="AB77" s="10">
        <v>2028</v>
      </c>
      <c r="AC77" s="10">
        <v>2159</v>
      </c>
      <c r="AD77" s="10"/>
      <c r="AE77" s="10"/>
      <c r="AF77" s="10"/>
      <c r="AG77" s="10">
        <v>11</v>
      </c>
      <c r="AH77" s="10"/>
      <c r="AI77" s="10"/>
      <c r="AJ77" s="10"/>
      <c r="AK77" s="10"/>
      <c r="AL77" s="10"/>
      <c r="AM77" s="10"/>
      <c r="AN77" s="10">
        <v>380.93750000000006</v>
      </c>
      <c r="AO77" s="10">
        <v>676.27935000000002</v>
      </c>
      <c r="AP77" s="10"/>
      <c r="AQ77" s="10"/>
      <c r="AR77" s="10"/>
      <c r="AS77" s="10">
        <v>109</v>
      </c>
      <c r="AT77" s="10">
        <v>1037</v>
      </c>
      <c r="AU77" s="10">
        <v>1037</v>
      </c>
      <c r="AV77" s="10"/>
      <c r="AW77" s="10"/>
      <c r="AX77" s="10">
        <v>-75</v>
      </c>
      <c r="AY77" s="10">
        <v>-75</v>
      </c>
      <c r="AZ77" s="10">
        <v>1231</v>
      </c>
      <c r="BA77" s="10">
        <v>2581</v>
      </c>
      <c r="BB77" s="10"/>
      <c r="BC77" s="10"/>
      <c r="BD77" s="10"/>
      <c r="BE77" s="10"/>
      <c r="BF77" s="10">
        <v>364615</v>
      </c>
      <c r="BG77" s="10">
        <v>1026654</v>
      </c>
      <c r="BH77" s="10"/>
      <c r="BI77" s="10"/>
      <c r="BJ77" s="10">
        <v>10485</v>
      </c>
      <c r="BK77" s="10">
        <v>20356</v>
      </c>
      <c r="BL77" s="108">
        <v>-11962</v>
      </c>
      <c r="BM77" s="108">
        <v>-2071</v>
      </c>
      <c r="BN77" s="10"/>
      <c r="BO77" s="10"/>
      <c r="BP77" s="88">
        <f t="shared" si="13"/>
        <v>469091.9375</v>
      </c>
      <c r="BQ77" s="88">
        <f t="shared" si="14"/>
        <v>1237740.27935</v>
      </c>
    </row>
    <row r="78" spans="1:69" x14ac:dyDescent="0.25">
      <c r="A78" s="26" t="s">
        <v>273</v>
      </c>
      <c r="B78" s="10">
        <v>43110</v>
      </c>
      <c r="C78" s="10">
        <v>66003</v>
      </c>
      <c r="D78" s="10"/>
      <c r="E78" s="10"/>
      <c r="F78" s="10"/>
      <c r="G78" s="10"/>
      <c r="H78" s="10">
        <v>9230</v>
      </c>
      <c r="I78" s="10">
        <v>20415</v>
      </c>
      <c r="J78" s="10">
        <v>31961</v>
      </c>
      <c r="K78" s="10">
        <v>43434</v>
      </c>
      <c r="L78" s="10">
        <v>2738</v>
      </c>
      <c r="M78" s="10">
        <v>5052</v>
      </c>
      <c r="N78" s="10"/>
      <c r="O78" s="10"/>
      <c r="P78" s="10"/>
      <c r="Q78" s="10"/>
      <c r="R78" s="10">
        <v>5440</v>
      </c>
      <c r="S78" s="10">
        <v>6361</v>
      </c>
      <c r="T78" s="10"/>
      <c r="U78" s="10"/>
      <c r="V78" s="10">
        <v>485</v>
      </c>
      <c r="W78" s="10">
        <v>1053</v>
      </c>
      <c r="X78" s="10"/>
      <c r="Y78" s="10"/>
      <c r="Z78" s="10">
        <v>24455</v>
      </c>
      <c r="AA78" s="10">
        <v>43544</v>
      </c>
      <c r="AB78" s="10">
        <v>48390</v>
      </c>
      <c r="AC78" s="10">
        <v>75498</v>
      </c>
      <c r="AD78" s="10"/>
      <c r="AE78" s="10"/>
      <c r="AF78" s="10">
        <v>5859</v>
      </c>
      <c r="AG78" s="10">
        <v>12654</v>
      </c>
      <c r="AH78" s="10">
        <v>-8</v>
      </c>
      <c r="AI78" s="10">
        <v>1405</v>
      </c>
      <c r="AJ78" s="10"/>
      <c r="AK78" s="10"/>
      <c r="AL78" s="10"/>
      <c r="AM78" s="10"/>
      <c r="AN78" s="10">
        <v>200241.76888640379</v>
      </c>
      <c r="AO78" s="10">
        <v>244690.68315703457</v>
      </c>
      <c r="AP78" s="10"/>
      <c r="AQ78" s="10"/>
      <c r="AR78" s="10">
        <v>-907</v>
      </c>
      <c r="AS78" s="10">
        <v>6348</v>
      </c>
      <c r="AT78" s="10">
        <v>18858</v>
      </c>
      <c r="AU78" s="10">
        <v>-15890</v>
      </c>
      <c r="AV78" s="10"/>
      <c r="AW78" s="10"/>
      <c r="AX78" s="10">
        <v>749</v>
      </c>
      <c r="AY78" s="10">
        <v>2644</v>
      </c>
      <c r="AZ78" s="10">
        <v>8309</v>
      </c>
      <c r="BA78" s="10">
        <v>13502</v>
      </c>
      <c r="BB78" s="10">
        <v>-60</v>
      </c>
      <c r="BC78" s="10">
        <v>-142</v>
      </c>
      <c r="BD78" s="10"/>
      <c r="BE78" s="10"/>
      <c r="BF78" s="10">
        <v>93271</v>
      </c>
      <c r="BG78" s="10">
        <v>198689</v>
      </c>
      <c r="BH78" s="10">
        <v>649544</v>
      </c>
      <c r="BI78" s="10">
        <v>1249084</v>
      </c>
      <c r="BJ78" s="10">
        <v>77012</v>
      </c>
      <c r="BK78" s="10">
        <v>86035</v>
      </c>
      <c r="BL78" s="108">
        <v>-165289</v>
      </c>
      <c r="BM78" s="108">
        <v>82562</v>
      </c>
      <c r="BN78" s="10">
        <v>-276</v>
      </c>
      <c r="BO78" s="10">
        <v>114</v>
      </c>
      <c r="BP78" s="88" t="e">
        <f>SUM(B78+D78+F78+H78+J78+L78+N78+P78+R78+T78+V78+X78+Z78+AB78+AD78+AF78+AH78+AJ78+AL78+AN78+AP78+AR78+AT78+AV78+#REF!+AZ78+BB78+BD78+BF78+BH78+BJ78+BL78+BN78)</f>
        <v>#REF!</v>
      </c>
      <c r="BQ78" s="88" t="e">
        <f>SUM(C78+E78+G78+I78+K78+M78+O78+Q78+S78+U78+W78+Y78+AA78+AC78+AE78+AG78+AI78+AK78+AM78+AO78+AQ78+AS78+AU78+AW78+#REF!+BA78+BC78+BE78+BG78+BI78+BK78+BM78+BO78)</f>
        <v>#REF!</v>
      </c>
    </row>
    <row r="79" spans="1:69" x14ac:dyDescent="0.25">
      <c r="A79" s="34"/>
    </row>
    <row r="80" spans="1:69" x14ac:dyDescent="0.25">
      <c r="A80" s="35" t="s">
        <v>223</v>
      </c>
    </row>
    <row r="81" spans="1:69" x14ac:dyDescent="0.25">
      <c r="A81" s="3" t="s">
        <v>0</v>
      </c>
      <c r="B81" s="116" t="s">
        <v>1</v>
      </c>
      <c r="C81" s="117"/>
      <c r="D81" s="116" t="s">
        <v>285</v>
      </c>
      <c r="E81" s="117"/>
      <c r="F81" s="116" t="s">
        <v>2</v>
      </c>
      <c r="G81" s="117"/>
      <c r="H81" s="116" t="s">
        <v>3</v>
      </c>
      <c r="I81" s="117"/>
      <c r="J81" s="116" t="s">
        <v>4</v>
      </c>
      <c r="K81" s="117"/>
      <c r="L81" s="116" t="s">
        <v>286</v>
      </c>
      <c r="M81" s="117"/>
      <c r="N81" s="116" t="s">
        <v>6</v>
      </c>
      <c r="O81" s="117"/>
      <c r="P81" s="116" t="s">
        <v>5</v>
      </c>
      <c r="Q81" s="117"/>
      <c r="R81" s="116" t="s">
        <v>7</v>
      </c>
      <c r="S81" s="117"/>
      <c r="T81" s="116" t="s">
        <v>287</v>
      </c>
      <c r="U81" s="117"/>
      <c r="V81" s="116" t="s">
        <v>8</v>
      </c>
      <c r="W81" s="117"/>
      <c r="X81" s="116" t="s">
        <v>288</v>
      </c>
      <c r="Y81" s="117"/>
      <c r="Z81" s="116" t="s">
        <v>9</v>
      </c>
      <c r="AA81" s="117"/>
      <c r="AB81" s="116" t="s">
        <v>10</v>
      </c>
      <c r="AC81" s="117"/>
      <c r="AD81" s="116" t="s">
        <v>289</v>
      </c>
      <c r="AE81" s="117"/>
      <c r="AF81" s="116" t="s">
        <v>11</v>
      </c>
      <c r="AG81" s="117"/>
      <c r="AH81" s="116" t="s">
        <v>12</v>
      </c>
      <c r="AI81" s="117"/>
      <c r="AJ81" s="116" t="s">
        <v>290</v>
      </c>
      <c r="AK81" s="117"/>
      <c r="AL81" s="116" t="s">
        <v>299</v>
      </c>
      <c r="AM81" s="117"/>
      <c r="AN81" s="116" t="s">
        <v>13</v>
      </c>
      <c r="AO81" s="117"/>
      <c r="AP81" s="116" t="s">
        <v>291</v>
      </c>
      <c r="AQ81" s="117"/>
      <c r="AR81" s="116" t="s">
        <v>292</v>
      </c>
      <c r="AS81" s="117"/>
      <c r="AT81" s="116" t="s">
        <v>307</v>
      </c>
      <c r="AU81" s="117"/>
      <c r="AV81" s="116" t="s">
        <v>293</v>
      </c>
      <c r="AW81" s="117"/>
      <c r="AX81" s="116" t="s">
        <v>14</v>
      </c>
      <c r="AY81" s="117"/>
      <c r="AZ81" s="116" t="s">
        <v>15</v>
      </c>
      <c r="BA81" s="117"/>
      <c r="BB81" s="116" t="s">
        <v>16</v>
      </c>
      <c r="BC81" s="117"/>
      <c r="BD81" s="116" t="s">
        <v>17</v>
      </c>
      <c r="BE81" s="117"/>
      <c r="BF81" s="116" t="s">
        <v>18</v>
      </c>
      <c r="BG81" s="117"/>
      <c r="BH81" s="116" t="s">
        <v>294</v>
      </c>
      <c r="BI81" s="117"/>
      <c r="BJ81" s="116" t="s">
        <v>295</v>
      </c>
      <c r="BK81" s="117"/>
      <c r="BL81" s="116" t="s">
        <v>19</v>
      </c>
      <c r="BM81" s="117"/>
      <c r="BN81" s="116" t="s">
        <v>20</v>
      </c>
      <c r="BO81" s="117"/>
      <c r="BP81" s="118" t="s">
        <v>21</v>
      </c>
      <c r="BQ81" s="119"/>
    </row>
    <row r="82" spans="1:69" ht="30" x14ac:dyDescent="0.25">
      <c r="A82" s="3"/>
      <c r="B82" s="67" t="s">
        <v>296</v>
      </c>
      <c r="C82" s="68" t="s">
        <v>297</v>
      </c>
      <c r="D82" s="67" t="s">
        <v>296</v>
      </c>
      <c r="E82" s="68" t="s">
        <v>297</v>
      </c>
      <c r="F82" s="67" t="s">
        <v>296</v>
      </c>
      <c r="G82" s="68" t="s">
        <v>297</v>
      </c>
      <c r="H82" s="67" t="s">
        <v>296</v>
      </c>
      <c r="I82" s="68" t="s">
        <v>297</v>
      </c>
      <c r="J82" s="67" t="s">
        <v>296</v>
      </c>
      <c r="K82" s="68" t="s">
        <v>297</v>
      </c>
      <c r="L82" s="67" t="s">
        <v>296</v>
      </c>
      <c r="M82" s="68" t="s">
        <v>297</v>
      </c>
      <c r="N82" s="67" t="s">
        <v>296</v>
      </c>
      <c r="O82" s="68" t="s">
        <v>297</v>
      </c>
      <c r="P82" s="67" t="s">
        <v>296</v>
      </c>
      <c r="Q82" s="68" t="s">
        <v>297</v>
      </c>
      <c r="R82" s="67" t="s">
        <v>296</v>
      </c>
      <c r="S82" s="68" t="s">
        <v>297</v>
      </c>
      <c r="T82" s="67" t="s">
        <v>296</v>
      </c>
      <c r="U82" s="68" t="s">
        <v>297</v>
      </c>
      <c r="V82" s="67" t="s">
        <v>296</v>
      </c>
      <c r="W82" s="68" t="s">
        <v>297</v>
      </c>
      <c r="X82" s="67" t="s">
        <v>296</v>
      </c>
      <c r="Y82" s="68" t="s">
        <v>297</v>
      </c>
      <c r="Z82" s="67" t="s">
        <v>296</v>
      </c>
      <c r="AA82" s="68" t="s">
        <v>297</v>
      </c>
      <c r="AB82" s="67" t="s">
        <v>296</v>
      </c>
      <c r="AC82" s="68" t="s">
        <v>297</v>
      </c>
      <c r="AD82" s="67" t="s">
        <v>296</v>
      </c>
      <c r="AE82" s="68" t="s">
        <v>297</v>
      </c>
      <c r="AF82" s="67" t="s">
        <v>296</v>
      </c>
      <c r="AG82" s="68" t="s">
        <v>297</v>
      </c>
      <c r="AH82" s="67" t="s">
        <v>296</v>
      </c>
      <c r="AI82" s="68" t="s">
        <v>297</v>
      </c>
      <c r="AJ82" s="67" t="s">
        <v>296</v>
      </c>
      <c r="AK82" s="68" t="s">
        <v>297</v>
      </c>
      <c r="AL82" s="67" t="s">
        <v>296</v>
      </c>
      <c r="AM82" s="68" t="s">
        <v>297</v>
      </c>
      <c r="AN82" s="67" t="s">
        <v>296</v>
      </c>
      <c r="AO82" s="68" t="s">
        <v>297</v>
      </c>
      <c r="AP82" s="67" t="s">
        <v>296</v>
      </c>
      <c r="AQ82" s="68" t="s">
        <v>297</v>
      </c>
      <c r="AR82" s="67" t="s">
        <v>296</v>
      </c>
      <c r="AS82" s="68" t="s">
        <v>297</v>
      </c>
      <c r="AT82" s="67" t="s">
        <v>296</v>
      </c>
      <c r="AU82" s="68" t="s">
        <v>297</v>
      </c>
      <c r="AV82" s="67" t="s">
        <v>296</v>
      </c>
      <c r="AW82" s="68" t="s">
        <v>297</v>
      </c>
      <c r="AX82" s="67" t="s">
        <v>296</v>
      </c>
      <c r="AY82" s="68" t="s">
        <v>297</v>
      </c>
      <c r="AZ82" s="67" t="s">
        <v>296</v>
      </c>
      <c r="BA82" s="68" t="s">
        <v>297</v>
      </c>
      <c r="BB82" s="67" t="s">
        <v>296</v>
      </c>
      <c r="BC82" s="68" t="s">
        <v>297</v>
      </c>
      <c r="BD82" s="67" t="s">
        <v>296</v>
      </c>
      <c r="BE82" s="68" t="s">
        <v>297</v>
      </c>
      <c r="BF82" s="67" t="s">
        <v>296</v>
      </c>
      <c r="BG82" s="68" t="s">
        <v>297</v>
      </c>
      <c r="BH82" s="67" t="s">
        <v>296</v>
      </c>
      <c r="BI82" s="68" t="s">
        <v>297</v>
      </c>
      <c r="BJ82" s="67" t="s">
        <v>296</v>
      </c>
      <c r="BK82" s="68" t="s">
        <v>297</v>
      </c>
      <c r="BL82" s="67" t="s">
        <v>296</v>
      </c>
      <c r="BM82" s="68" t="s">
        <v>297</v>
      </c>
      <c r="BN82" s="67" t="s">
        <v>296</v>
      </c>
      <c r="BO82" s="68" t="s">
        <v>297</v>
      </c>
      <c r="BP82" s="84" t="s">
        <v>280</v>
      </c>
      <c r="BQ82" s="85" t="s">
        <v>281</v>
      </c>
    </row>
    <row r="83" spans="1:69" x14ac:dyDescent="0.25">
      <c r="A83" s="26" t="s">
        <v>228</v>
      </c>
      <c r="B83" s="10"/>
      <c r="C83" s="10"/>
      <c r="D83" s="10"/>
      <c r="E83" s="10"/>
      <c r="F83" s="10"/>
      <c r="G83" s="10"/>
      <c r="H83" s="10">
        <v>102576</v>
      </c>
      <c r="I83" s="10">
        <v>149182</v>
      </c>
      <c r="J83" s="10"/>
      <c r="K83" s="10"/>
      <c r="L83" s="10"/>
      <c r="M83" s="10"/>
      <c r="N83" s="10"/>
      <c r="O83" s="10"/>
      <c r="P83" s="10"/>
      <c r="Q83" s="10"/>
      <c r="R83" s="10"/>
      <c r="S83" s="10">
        <v>18</v>
      </c>
      <c r="T83" s="10"/>
      <c r="U83" s="10"/>
      <c r="V83" s="10">
        <v>46335</v>
      </c>
      <c r="W83" s="10">
        <v>49432</v>
      </c>
      <c r="X83" s="10"/>
      <c r="Y83" s="10"/>
      <c r="Z83" s="10">
        <v>79753</v>
      </c>
      <c r="AA83" s="10">
        <v>102115</v>
      </c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>
        <v>74551.527999999991</v>
      </c>
      <c r="AO83" s="10">
        <v>252127.13099999999</v>
      </c>
      <c r="AP83" s="10"/>
      <c r="AQ83" s="10"/>
      <c r="AR83" s="10"/>
      <c r="AS83" s="10"/>
      <c r="AT83" s="10">
        <v>26422</v>
      </c>
      <c r="AU83" s="10">
        <v>36233</v>
      </c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>
        <v>112485</v>
      </c>
      <c r="BI83" s="10">
        <v>476748</v>
      </c>
      <c r="BJ83" s="10">
        <v>24044</v>
      </c>
      <c r="BK83" s="10">
        <v>46240</v>
      </c>
      <c r="BL83" s="108">
        <v>210211</v>
      </c>
      <c r="BM83" s="108">
        <v>205777</v>
      </c>
      <c r="BN83" s="10"/>
      <c r="BO83" s="10"/>
      <c r="BP83" s="88">
        <f t="shared" ref="BP83:BP89" si="15">SUM(B83+D83+F83+H83+J83+L83+N83+P83+R83+T83+V83+X83+Z83+AB83+AD83+AF83+AH83+AJ83+AL83+AN83+AP83+AR83+AT83+AV83+AX83+AZ83+BB83+BD83+BF83+BH83+BJ83+BL83+BN83)</f>
        <v>676377.52799999993</v>
      </c>
      <c r="BQ83" s="88">
        <f t="shared" ref="BQ83:BQ89" si="16">SUM(C83+E83+G83+I83+K83+M83+O83+Q83+S83+U83+W83+Y83+AA83+AC83+AE83+AG83+AI83+AK83+AM83+AO83+AQ83+AS83+AU83+AW83+AY83+BA83+BC83+BE83+BG83+BI83+BK83+BM83+BO83)</f>
        <v>1317872.1310000001</v>
      </c>
    </row>
    <row r="84" spans="1:69" x14ac:dyDescent="0.25">
      <c r="A84" s="26" t="s">
        <v>279</v>
      </c>
      <c r="B84" s="10"/>
      <c r="C84" s="10"/>
      <c r="D84" s="10"/>
      <c r="E84" s="10"/>
      <c r="F84" s="10"/>
      <c r="G84" s="10"/>
      <c r="H84" s="10">
        <v>15480</v>
      </c>
      <c r="I84" s="10">
        <v>148630</v>
      </c>
      <c r="J84" s="10"/>
      <c r="K84" s="10"/>
      <c r="L84" s="10"/>
      <c r="M84" s="10"/>
      <c r="N84" s="10"/>
      <c r="O84" s="10"/>
      <c r="P84" s="10"/>
      <c r="Q84" s="10"/>
      <c r="R84" s="10">
        <v>13715</v>
      </c>
      <c r="S84" s="10">
        <v>13715</v>
      </c>
      <c r="T84" s="10"/>
      <c r="U84" s="10"/>
      <c r="V84" s="10">
        <v>761488</v>
      </c>
      <c r="W84" s="10">
        <v>761488</v>
      </c>
      <c r="X84" s="10"/>
      <c r="Y84" s="10"/>
      <c r="Z84" s="10">
        <v>1740091</v>
      </c>
      <c r="AA84" s="10">
        <v>1740091</v>
      </c>
      <c r="AB84" s="10">
        <v>-498</v>
      </c>
      <c r="AC84" s="10">
        <v>799</v>
      </c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>
        <v>291102.64428321598</v>
      </c>
      <c r="AO84" s="10">
        <v>1373240.2774150721</v>
      </c>
      <c r="AP84" s="10"/>
      <c r="AQ84" s="10"/>
      <c r="AR84" s="10"/>
      <c r="AS84" s="10"/>
      <c r="AT84" s="10">
        <v>32343</v>
      </c>
      <c r="AU84" s="10">
        <v>32343</v>
      </c>
      <c r="AV84" s="10"/>
      <c r="AW84" s="10"/>
      <c r="AX84" s="10"/>
      <c r="AY84" s="10"/>
      <c r="AZ84" s="10">
        <v>161</v>
      </c>
      <c r="BA84" s="10">
        <v>161</v>
      </c>
      <c r="BB84" s="10"/>
      <c r="BC84" s="10"/>
      <c r="BD84" s="10"/>
      <c r="BE84" s="10"/>
      <c r="BF84" s="10">
        <v>2367</v>
      </c>
      <c r="BG84" s="10">
        <v>2367</v>
      </c>
      <c r="BH84" s="10">
        <v>5224973</v>
      </c>
      <c r="BI84" s="10">
        <v>5224973</v>
      </c>
      <c r="BJ84" s="10">
        <v>1094510</v>
      </c>
      <c r="BK84" s="10">
        <v>2096756</v>
      </c>
      <c r="BL84" s="108">
        <v>2186433</v>
      </c>
      <c r="BM84" s="108">
        <v>2186433</v>
      </c>
      <c r="BN84" s="10"/>
      <c r="BO84" s="10"/>
      <c r="BP84" s="88">
        <f t="shared" si="15"/>
        <v>11362165.644283216</v>
      </c>
      <c r="BQ84" s="88">
        <f t="shared" si="16"/>
        <v>13580996.277415073</v>
      </c>
    </row>
    <row r="85" spans="1:69" x14ac:dyDescent="0.25">
      <c r="A85" s="26" t="s">
        <v>278</v>
      </c>
      <c r="B85" s="10"/>
      <c r="C85" s="10"/>
      <c r="D85" s="10"/>
      <c r="E85" s="10"/>
      <c r="F85" s="10"/>
      <c r="G85" s="10"/>
      <c r="H85" s="10"/>
      <c r="I85" s="10">
        <v>120483</v>
      </c>
      <c r="J85" s="10"/>
      <c r="K85" s="10"/>
      <c r="L85" s="10"/>
      <c r="M85" s="10"/>
      <c r="N85" s="10"/>
      <c r="O85" s="10"/>
      <c r="P85" s="10"/>
      <c r="Q85" s="10"/>
      <c r="R85" s="10">
        <v>10404</v>
      </c>
      <c r="S85" s="10">
        <v>5044</v>
      </c>
      <c r="T85" s="10"/>
      <c r="U85" s="10"/>
      <c r="V85" s="10">
        <v>-779255</v>
      </c>
      <c r="W85" s="10">
        <v>-595965</v>
      </c>
      <c r="X85" s="10"/>
      <c r="Y85" s="10"/>
      <c r="Z85" s="10">
        <v>1844409</v>
      </c>
      <c r="AA85" s="10">
        <v>1737914</v>
      </c>
      <c r="AB85" s="10"/>
      <c r="AC85" s="10">
        <v>799</v>
      </c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>
        <v>1174949.0079999999</v>
      </c>
      <c r="AP85" s="10"/>
      <c r="AQ85" s="10"/>
      <c r="AR85" s="10"/>
      <c r="AS85" s="10"/>
      <c r="AT85" s="10">
        <v>8961</v>
      </c>
      <c r="AU85" s="10">
        <v>8918</v>
      </c>
      <c r="AV85" s="10"/>
      <c r="AW85" s="10"/>
      <c r="AX85" s="10"/>
      <c r="AY85" s="10"/>
      <c r="AZ85" s="10">
        <v>158</v>
      </c>
      <c r="BA85" s="10">
        <v>155</v>
      </c>
      <c r="BB85" s="10"/>
      <c r="BC85" s="10"/>
      <c r="BD85" s="10"/>
      <c r="BE85" s="10"/>
      <c r="BF85" s="10">
        <v>2367</v>
      </c>
      <c r="BG85" s="10">
        <v>2367</v>
      </c>
      <c r="BH85" s="10">
        <v>2139060</v>
      </c>
      <c r="BI85" s="10">
        <v>2487471</v>
      </c>
      <c r="BJ85" s="10">
        <v>0</v>
      </c>
      <c r="BK85" s="10">
        <v>980789</v>
      </c>
      <c r="BL85" s="108">
        <v>921987</v>
      </c>
      <c r="BM85" s="108">
        <v>821158</v>
      </c>
      <c r="BN85" s="10"/>
      <c r="BO85" s="10"/>
      <c r="BP85" s="88">
        <f t="shared" si="15"/>
        <v>4148091</v>
      </c>
      <c r="BQ85" s="88">
        <f t="shared" si="16"/>
        <v>6744082.0079999994</v>
      </c>
    </row>
    <row r="86" spans="1:69" x14ac:dyDescent="0.25">
      <c r="A86" s="26" t="s">
        <v>284</v>
      </c>
      <c r="B86" s="10"/>
      <c r="C86" s="10"/>
      <c r="D86" s="10"/>
      <c r="E86" s="10"/>
      <c r="F86" s="10"/>
      <c r="G86" s="10"/>
      <c r="H86" s="10">
        <v>118056</v>
      </c>
      <c r="I86" s="10">
        <v>177329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>
        <v>28568</v>
      </c>
      <c r="W86" s="10">
        <v>214955</v>
      </c>
      <c r="X86" s="10"/>
      <c r="Y86" s="10"/>
      <c r="Z86" s="10">
        <v>-24565</v>
      </c>
      <c r="AA86" s="10">
        <v>104292</v>
      </c>
      <c r="AB86" s="10">
        <v>-498</v>
      </c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>
        <v>3198397</v>
      </c>
      <c r="BI86" s="10">
        <v>3214249</v>
      </c>
      <c r="BJ86" s="10">
        <v>1118554</v>
      </c>
      <c r="BK86" s="10">
        <v>1162207</v>
      </c>
      <c r="BL86" s="108">
        <v>1474657</v>
      </c>
      <c r="BM86" s="108">
        <v>1571052</v>
      </c>
      <c r="BN86" s="10"/>
      <c r="BO86" s="10"/>
      <c r="BP86" s="88">
        <f t="shared" si="15"/>
        <v>5913169</v>
      </c>
      <c r="BQ86" s="88">
        <f t="shared" si="16"/>
        <v>6444084</v>
      </c>
    </row>
    <row r="87" spans="1:69" x14ac:dyDescent="0.25">
      <c r="A87" s="26" t="s">
        <v>276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>
        <v>4341</v>
      </c>
      <c r="W87" s="10">
        <v>12478</v>
      </c>
      <c r="X87" s="10"/>
      <c r="Y87" s="10"/>
      <c r="Z87" s="10"/>
      <c r="AA87" s="10"/>
      <c r="AB87" s="10">
        <v>728</v>
      </c>
      <c r="AC87" s="10">
        <v>728</v>
      </c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>
        <v>1466.7419999999984</v>
      </c>
      <c r="AO87" s="10">
        <v>113664.77499999999</v>
      </c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>
        <v>300087</v>
      </c>
      <c r="BK87" s="10">
        <v>561707</v>
      </c>
      <c r="BL87" s="108">
        <v>30111</v>
      </c>
      <c r="BM87" s="108">
        <v>39838</v>
      </c>
      <c r="BN87" s="10"/>
      <c r="BO87" s="10"/>
      <c r="BP87" s="88">
        <f t="shared" si="15"/>
        <v>336733.74199999997</v>
      </c>
      <c r="BQ87" s="88">
        <f t="shared" si="16"/>
        <v>728415.77500000002</v>
      </c>
    </row>
    <row r="88" spans="1:69" x14ac:dyDescent="0.25">
      <c r="A88" s="26" t="s">
        <v>277</v>
      </c>
      <c r="B88" s="10"/>
      <c r="C88" s="10"/>
      <c r="D88" s="10"/>
      <c r="E88" s="10"/>
      <c r="F88" s="10"/>
      <c r="G88" s="10"/>
      <c r="H88" s="10">
        <v>51865</v>
      </c>
      <c r="I88" s="10">
        <v>73591</v>
      </c>
      <c r="J88" s="10"/>
      <c r="K88" s="10"/>
      <c r="L88" s="10"/>
      <c r="M88" s="10"/>
      <c r="N88" s="10"/>
      <c r="O88" s="10"/>
      <c r="P88" s="10"/>
      <c r="Q88" s="10"/>
      <c r="R88" s="10"/>
      <c r="S88" s="10">
        <v>1</v>
      </c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>
        <v>69493.382999999987</v>
      </c>
      <c r="AO88" s="10">
        <v>171742.32199999999</v>
      </c>
      <c r="AP88" s="10"/>
      <c r="AQ88" s="10"/>
      <c r="AR88" s="10"/>
      <c r="AS88" s="10"/>
      <c r="AT88" s="10">
        <v>26558</v>
      </c>
      <c r="AU88" s="10">
        <v>36253</v>
      </c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>
        <v>1008259</v>
      </c>
      <c r="BK88" s="10">
        <v>1041728</v>
      </c>
      <c r="BL88" s="108">
        <v>1079292</v>
      </c>
      <c r="BM88" s="108">
        <v>1391144</v>
      </c>
      <c r="BN88" s="10"/>
      <c r="BO88" s="10"/>
      <c r="BP88" s="88">
        <f t="shared" si="15"/>
        <v>2235467.3829999999</v>
      </c>
      <c r="BQ88" s="88">
        <f t="shared" si="16"/>
        <v>2714459.3219999997</v>
      </c>
    </row>
    <row r="89" spans="1:69" x14ac:dyDescent="0.25">
      <c r="A89" s="26" t="s">
        <v>273</v>
      </c>
      <c r="B89" s="10"/>
      <c r="C89" s="10"/>
      <c r="D89" s="10"/>
      <c r="E89" s="10"/>
      <c r="F89" s="10"/>
      <c r="G89" s="10"/>
      <c r="H89" s="10">
        <v>66191</v>
      </c>
      <c r="I89" s="10">
        <v>103738</v>
      </c>
      <c r="J89" s="10"/>
      <c r="K89" s="10"/>
      <c r="L89" s="10"/>
      <c r="M89" s="10"/>
      <c r="N89" s="10"/>
      <c r="O89" s="10"/>
      <c r="P89" s="10"/>
      <c r="Q89" s="10"/>
      <c r="R89" s="10">
        <v>3311</v>
      </c>
      <c r="S89" s="10">
        <v>8688</v>
      </c>
      <c r="T89" s="10"/>
      <c r="U89" s="10"/>
      <c r="V89" s="10">
        <v>89</v>
      </c>
      <c r="W89" s="10">
        <v>4454</v>
      </c>
      <c r="X89" s="10"/>
      <c r="Y89" s="10"/>
      <c r="Z89" s="10">
        <v>107825</v>
      </c>
      <c r="AA89" s="10">
        <v>138879</v>
      </c>
      <c r="AB89" s="10">
        <v>230</v>
      </c>
      <c r="AC89" s="10">
        <v>728</v>
      </c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>
        <v>297627.53128321597</v>
      </c>
      <c r="AO89" s="10">
        <v>392340.8534150722</v>
      </c>
      <c r="AP89" s="10"/>
      <c r="AQ89" s="10"/>
      <c r="AR89" s="10"/>
      <c r="AS89" s="10"/>
      <c r="AT89" s="10">
        <v>23246</v>
      </c>
      <c r="AU89" s="10">
        <v>23405</v>
      </c>
      <c r="AV89" s="10"/>
      <c r="AW89" s="10"/>
      <c r="AX89" s="10"/>
      <c r="AY89" s="10"/>
      <c r="AZ89" s="10">
        <v>3</v>
      </c>
      <c r="BA89" s="10">
        <v>6</v>
      </c>
      <c r="BB89" s="10"/>
      <c r="BC89" s="10"/>
      <c r="BD89" s="10"/>
      <c r="BE89" s="10"/>
      <c r="BF89" s="10"/>
      <c r="BG89" s="10"/>
      <c r="BH89" s="10">
        <v>730822</v>
      </c>
      <c r="BI89" s="10">
        <v>1062764</v>
      </c>
      <c r="BJ89" s="10">
        <v>410382</v>
      </c>
      <c r="BK89" s="10">
        <v>682186</v>
      </c>
      <c r="BL89" s="108">
        <v>425476</v>
      </c>
      <c r="BM89" s="108">
        <v>219746</v>
      </c>
      <c r="BN89" s="10"/>
      <c r="BO89" s="10"/>
      <c r="BP89" s="88">
        <f t="shared" si="15"/>
        <v>2065202.5312832161</v>
      </c>
      <c r="BQ89" s="88">
        <f t="shared" si="16"/>
        <v>2636934.853415072</v>
      </c>
    </row>
    <row r="90" spans="1:69" x14ac:dyDescent="0.25">
      <c r="A90" s="18"/>
    </row>
    <row r="91" spans="1:69" x14ac:dyDescent="0.25">
      <c r="A91" s="33" t="s">
        <v>224</v>
      </c>
    </row>
    <row r="92" spans="1:69" x14ac:dyDescent="0.25">
      <c r="A92" s="3" t="s">
        <v>0</v>
      </c>
      <c r="B92" s="116" t="s">
        <v>1</v>
      </c>
      <c r="C92" s="117"/>
      <c r="D92" s="116" t="s">
        <v>285</v>
      </c>
      <c r="E92" s="117"/>
      <c r="F92" s="116" t="s">
        <v>2</v>
      </c>
      <c r="G92" s="117"/>
      <c r="H92" s="116" t="s">
        <v>3</v>
      </c>
      <c r="I92" s="117"/>
      <c r="J92" s="116" t="s">
        <v>4</v>
      </c>
      <c r="K92" s="117"/>
      <c r="L92" s="116" t="s">
        <v>286</v>
      </c>
      <c r="M92" s="117"/>
      <c r="N92" s="116" t="s">
        <v>6</v>
      </c>
      <c r="O92" s="117"/>
      <c r="P92" s="116" t="s">
        <v>5</v>
      </c>
      <c r="Q92" s="117"/>
      <c r="R92" s="116" t="s">
        <v>7</v>
      </c>
      <c r="S92" s="117"/>
      <c r="T92" s="116" t="s">
        <v>287</v>
      </c>
      <c r="U92" s="117"/>
      <c r="V92" s="116" t="s">
        <v>8</v>
      </c>
      <c r="W92" s="117"/>
      <c r="X92" s="116" t="s">
        <v>288</v>
      </c>
      <c r="Y92" s="117"/>
      <c r="Z92" s="116" t="s">
        <v>9</v>
      </c>
      <c r="AA92" s="117"/>
      <c r="AB92" s="116" t="s">
        <v>10</v>
      </c>
      <c r="AC92" s="117"/>
      <c r="AD92" s="116" t="s">
        <v>289</v>
      </c>
      <c r="AE92" s="117"/>
      <c r="AF92" s="116" t="s">
        <v>11</v>
      </c>
      <c r="AG92" s="117"/>
      <c r="AH92" s="116" t="s">
        <v>12</v>
      </c>
      <c r="AI92" s="117"/>
      <c r="AJ92" s="116" t="s">
        <v>290</v>
      </c>
      <c r="AK92" s="117"/>
      <c r="AL92" s="116" t="s">
        <v>299</v>
      </c>
      <c r="AM92" s="117"/>
      <c r="AN92" s="116" t="s">
        <v>13</v>
      </c>
      <c r="AO92" s="117"/>
      <c r="AP92" s="116" t="s">
        <v>291</v>
      </c>
      <c r="AQ92" s="117"/>
      <c r="AR92" s="116" t="s">
        <v>292</v>
      </c>
      <c r="AS92" s="117"/>
      <c r="AT92" s="116" t="s">
        <v>307</v>
      </c>
      <c r="AU92" s="117"/>
      <c r="AV92" s="116" t="s">
        <v>293</v>
      </c>
      <c r="AW92" s="117"/>
      <c r="AX92" s="116" t="s">
        <v>14</v>
      </c>
      <c r="AY92" s="117"/>
      <c r="AZ92" s="116" t="s">
        <v>15</v>
      </c>
      <c r="BA92" s="117"/>
      <c r="BB92" s="116" t="s">
        <v>16</v>
      </c>
      <c r="BC92" s="117"/>
      <c r="BD92" s="116" t="s">
        <v>17</v>
      </c>
      <c r="BE92" s="117"/>
      <c r="BF92" s="116" t="s">
        <v>18</v>
      </c>
      <c r="BG92" s="117"/>
      <c r="BH92" s="116" t="s">
        <v>294</v>
      </c>
      <c r="BI92" s="117"/>
      <c r="BJ92" s="116" t="s">
        <v>295</v>
      </c>
      <c r="BK92" s="117"/>
      <c r="BL92" s="116" t="s">
        <v>19</v>
      </c>
      <c r="BM92" s="117"/>
      <c r="BN92" s="116" t="s">
        <v>20</v>
      </c>
      <c r="BO92" s="117"/>
      <c r="BP92" s="118" t="s">
        <v>21</v>
      </c>
      <c r="BQ92" s="119"/>
    </row>
    <row r="93" spans="1:69" ht="30" x14ac:dyDescent="0.25">
      <c r="A93" s="3"/>
      <c r="B93" s="67" t="s">
        <v>296</v>
      </c>
      <c r="C93" s="68" t="s">
        <v>297</v>
      </c>
      <c r="D93" s="67" t="s">
        <v>296</v>
      </c>
      <c r="E93" s="68" t="s">
        <v>297</v>
      </c>
      <c r="F93" s="67" t="s">
        <v>296</v>
      </c>
      <c r="G93" s="68" t="s">
        <v>297</v>
      </c>
      <c r="H93" s="67" t="s">
        <v>296</v>
      </c>
      <c r="I93" s="68" t="s">
        <v>297</v>
      </c>
      <c r="J93" s="67" t="s">
        <v>296</v>
      </c>
      <c r="K93" s="68" t="s">
        <v>297</v>
      </c>
      <c r="L93" s="67" t="s">
        <v>296</v>
      </c>
      <c r="M93" s="68" t="s">
        <v>297</v>
      </c>
      <c r="N93" s="67" t="s">
        <v>296</v>
      </c>
      <c r="O93" s="68" t="s">
        <v>297</v>
      </c>
      <c r="P93" s="67" t="s">
        <v>296</v>
      </c>
      <c r="Q93" s="68" t="s">
        <v>297</v>
      </c>
      <c r="R93" s="67" t="s">
        <v>296</v>
      </c>
      <c r="S93" s="68" t="s">
        <v>297</v>
      </c>
      <c r="T93" s="67" t="s">
        <v>296</v>
      </c>
      <c r="U93" s="68" t="s">
        <v>297</v>
      </c>
      <c r="V93" s="67" t="s">
        <v>296</v>
      </c>
      <c r="W93" s="68" t="s">
        <v>297</v>
      </c>
      <c r="X93" s="67" t="s">
        <v>296</v>
      </c>
      <c r="Y93" s="68" t="s">
        <v>297</v>
      </c>
      <c r="Z93" s="67" t="s">
        <v>296</v>
      </c>
      <c r="AA93" s="68" t="s">
        <v>297</v>
      </c>
      <c r="AB93" s="67" t="s">
        <v>296</v>
      </c>
      <c r="AC93" s="68" t="s">
        <v>297</v>
      </c>
      <c r="AD93" s="67" t="s">
        <v>296</v>
      </c>
      <c r="AE93" s="68" t="s">
        <v>297</v>
      </c>
      <c r="AF93" s="67" t="s">
        <v>296</v>
      </c>
      <c r="AG93" s="68" t="s">
        <v>297</v>
      </c>
      <c r="AH93" s="67" t="s">
        <v>296</v>
      </c>
      <c r="AI93" s="68" t="s">
        <v>297</v>
      </c>
      <c r="AJ93" s="67" t="s">
        <v>296</v>
      </c>
      <c r="AK93" s="68" t="s">
        <v>297</v>
      </c>
      <c r="AL93" s="67" t="s">
        <v>296</v>
      </c>
      <c r="AM93" s="68" t="s">
        <v>297</v>
      </c>
      <c r="AN93" s="67" t="s">
        <v>296</v>
      </c>
      <c r="AO93" s="68" t="s">
        <v>297</v>
      </c>
      <c r="AP93" s="67" t="s">
        <v>296</v>
      </c>
      <c r="AQ93" s="68" t="s">
        <v>297</v>
      </c>
      <c r="AR93" s="67" t="s">
        <v>296</v>
      </c>
      <c r="AS93" s="68" t="s">
        <v>297</v>
      </c>
      <c r="AT93" s="67" t="s">
        <v>296</v>
      </c>
      <c r="AU93" s="68" t="s">
        <v>297</v>
      </c>
      <c r="AV93" s="67" t="s">
        <v>296</v>
      </c>
      <c r="AW93" s="68" t="s">
        <v>297</v>
      </c>
      <c r="AX93" s="67" t="s">
        <v>296</v>
      </c>
      <c r="AY93" s="68" t="s">
        <v>297</v>
      </c>
      <c r="AZ93" s="67" t="s">
        <v>296</v>
      </c>
      <c r="BA93" s="68" t="s">
        <v>297</v>
      </c>
      <c r="BB93" s="67" t="s">
        <v>296</v>
      </c>
      <c r="BC93" s="68" t="s">
        <v>297</v>
      </c>
      <c r="BD93" s="67" t="s">
        <v>296</v>
      </c>
      <c r="BE93" s="68" t="s">
        <v>297</v>
      </c>
      <c r="BF93" s="67" t="s">
        <v>296</v>
      </c>
      <c r="BG93" s="68" t="s">
        <v>297</v>
      </c>
      <c r="BH93" s="67" t="s">
        <v>296</v>
      </c>
      <c r="BI93" s="68" t="s">
        <v>297</v>
      </c>
      <c r="BJ93" s="67" t="s">
        <v>296</v>
      </c>
      <c r="BK93" s="68" t="s">
        <v>297</v>
      </c>
      <c r="BL93" s="67" t="s">
        <v>296</v>
      </c>
      <c r="BM93" s="68" t="s">
        <v>297</v>
      </c>
      <c r="BN93" s="67" t="s">
        <v>296</v>
      </c>
      <c r="BO93" s="68" t="s">
        <v>297</v>
      </c>
      <c r="BP93" s="84" t="s">
        <v>280</v>
      </c>
      <c r="BQ93" s="85" t="s">
        <v>281</v>
      </c>
    </row>
    <row r="94" spans="1:69" x14ac:dyDescent="0.25">
      <c r="A94" s="26" t="s">
        <v>228</v>
      </c>
      <c r="B94" s="10">
        <f>B105-B83-B72-B61-B39-B28-B17-B6-B50</f>
        <v>0</v>
      </c>
      <c r="C94" s="10">
        <f t="shared" ref="C94:AI94" si="17">C105-C83-C72-C61-C39-C28-C17-C6-C50</f>
        <v>0</v>
      </c>
      <c r="D94" s="10">
        <f t="shared" si="17"/>
        <v>0</v>
      </c>
      <c r="E94" s="10">
        <f t="shared" si="17"/>
        <v>0</v>
      </c>
      <c r="F94" s="10">
        <f t="shared" si="17"/>
        <v>26236148</v>
      </c>
      <c r="G94" s="10">
        <f t="shared" si="17"/>
        <v>55029468</v>
      </c>
      <c r="H94" s="10">
        <f t="shared" si="17"/>
        <v>7004304</v>
      </c>
      <c r="I94" s="10">
        <f t="shared" si="17"/>
        <v>17023278</v>
      </c>
      <c r="J94" s="10">
        <f t="shared" si="17"/>
        <v>117233</v>
      </c>
      <c r="K94" s="10">
        <f t="shared" si="17"/>
        <v>156312</v>
      </c>
      <c r="L94" s="10">
        <f t="shared" si="17"/>
        <v>69342</v>
      </c>
      <c r="M94" s="10">
        <f t="shared" si="17"/>
        <v>270285</v>
      </c>
      <c r="N94" s="10">
        <f t="shared" si="17"/>
        <v>2073162.29</v>
      </c>
      <c r="O94" s="10">
        <f t="shared" si="17"/>
        <v>4100305.27</v>
      </c>
      <c r="P94" s="10">
        <f t="shared" si="17"/>
        <v>0</v>
      </c>
      <c r="Q94" s="10">
        <f t="shared" si="17"/>
        <v>0</v>
      </c>
      <c r="R94" s="10">
        <f t="shared" si="17"/>
        <v>1227203</v>
      </c>
      <c r="S94" s="10">
        <f t="shared" si="17"/>
        <v>2948229</v>
      </c>
      <c r="T94" s="10">
        <f t="shared" si="17"/>
        <v>35071</v>
      </c>
      <c r="U94" s="10">
        <f t="shared" si="17"/>
        <v>41266.22</v>
      </c>
      <c r="V94" s="10">
        <f t="shared" si="17"/>
        <v>5109616</v>
      </c>
      <c r="W94" s="10">
        <f t="shared" si="17"/>
        <v>13005260</v>
      </c>
      <c r="X94" s="10">
        <f t="shared" si="17"/>
        <v>21757</v>
      </c>
      <c r="Y94" s="10">
        <f t="shared" si="17"/>
        <v>23334</v>
      </c>
      <c r="Z94" s="10">
        <f t="shared" si="17"/>
        <v>1197677</v>
      </c>
      <c r="AA94" s="10">
        <f t="shared" si="17"/>
        <v>16724173</v>
      </c>
      <c r="AB94" s="10">
        <f t="shared" si="17"/>
        <v>7755735</v>
      </c>
      <c r="AC94" s="10">
        <f t="shared" si="17"/>
        <v>8569175</v>
      </c>
      <c r="AD94" s="10">
        <f t="shared" si="17"/>
        <v>807</v>
      </c>
      <c r="AE94" s="10">
        <f t="shared" si="17"/>
        <v>1987</v>
      </c>
      <c r="AF94" s="10">
        <f t="shared" si="17"/>
        <v>54663</v>
      </c>
      <c r="AG94" s="10">
        <f t="shared" si="17"/>
        <v>82690</v>
      </c>
      <c r="AH94" s="10">
        <f t="shared" si="17"/>
        <v>1413</v>
      </c>
      <c r="AI94" s="10">
        <f t="shared" si="17"/>
        <v>2079</v>
      </c>
      <c r="AJ94" s="10">
        <f t="shared" ref="AJ94:BO94" si="18">AJ105-AJ83-AJ72-AJ61-AJ39-AJ28-AJ17-AJ6-AJ50</f>
        <v>0</v>
      </c>
      <c r="AK94" s="10">
        <f t="shared" si="18"/>
        <v>0</v>
      </c>
      <c r="AL94" s="10">
        <f t="shared" si="18"/>
        <v>0</v>
      </c>
      <c r="AM94" s="10">
        <f t="shared" si="18"/>
        <v>0</v>
      </c>
      <c r="AN94" s="10">
        <f t="shared" si="18"/>
        <v>1292010.6440000013</v>
      </c>
      <c r="AO94" s="10">
        <f t="shared" si="18"/>
        <v>4397022.0300000012</v>
      </c>
      <c r="AP94" s="10">
        <f t="shared" si="18"/>
        <v>17192</v>
      </c>
      <c r="AQ94" s="10">
        <f t="shared" si="18"/>
        <v>21111</v>
      </c>
      <c r="AR94" s="10">
        <f t="shared" si="18"/>
        <v>16792</v>
      </c>
      <c r="AS94" s="10">
        <f t="shared" si="18"/>
        <v>23547</v>
      </c>
      <c r="AT94" s="10">
        <f t="shared" si="18"/>
        <v>2168715</v>
      </c>
      <c r="AU94" s="10">
        <f t="shared" si="18"/>
        <v>2821101</v>
      </c>
      <c r="AV94" s="10">
        <f t="shared" si="18"/>
        <v>0</v>
      </c>
      <c r="AW94" s="10">
        <f t="shared" si="18"/>
        <v>0</v>
      </c>
      <c r="AX94" s="10">
        <f t="shared" si="18"/>
        <v>1818194</v>
      </c>
      <c r="AY94" s="10">
        <f t="shared" si="18"/>
        <v>2189890</v>
      </c>
      <c r="AZ94" s="10">
        <f t="shared" ref="AZ94:BA94" si="19">AZ105-AZ83-AZ72-AZ61-AZ39-AZ28-AZ17-AZ6-AZ50</f>
        <v>2727886</v>
      </c>
      <c r="BA94" s="10">
        <f t="shared" si="19"/>
        <v>8661497</v>
      </c>
      <c r="BB94" s="10">
        <f t="shared" si="18"/>
        <v>5260</v>
      </c>
      <c r="BC94" s="10">
        <f t="shared" si="18"/>
        <v>6801</v>
      </c>
      <c r="BD94" s="10">
        <f t="shared" si="18"/>
        <v>10160568</v>
      </c>
      <c r="BE94" s="10">
        <f t="shared" si="18"/>
        <v>16550047</v>
      </c>
      <c r="BF94" s="10">
        <f t="shared" si="18"/>
        <v>827024</v>
      </c>
      <c r="BG94" s="10">
        <f t="shared" si="18"/>
        <v>1161685</v>
      </c>
      <c r="BH94" s="10">
        <f t="shared" si="18"/>
        <v>6090426</v>
      </c>
      <c r="BI94" s="10">
        <f t="shared" si="18"/>
        <v>13410049</v>
      </c>
      <c r="BJ94" s="10">
        <f t="shared" si="18"/>
        <v>8510287</v>
      </c>
      <c r="BK94" s="10">
        <f t="shared" si="18"/>
        <v>13721717</v>
      </c>
      <c r="BL94" s="10">
        <f t="shared" si="18"/>
        <v>15404471</v>
      </c>
      <c r="BM94" s="10">
        <f t="shared" si="18"/>
        <v>16201619</v>
      </c>
      <c r="BN94" s="10">
        <f t="shared" si="18"/>
        <v>1095929</v>
      </c>
      <c r="BO94" s="10">
        <f t="shared" si="18"/>
        <v>1282016</v>
      </c>
      <c r="BP94" s="88">
        <f t="shared" ref="BP94:BP100" si="20">SUM(B94+D94+F94+H94+J94+L94+N94+P94+R94+T94+V94+X94+Z94+AB94+AD94+AF94+AH94+AJ94+AL94+AN94+AP94+AR94+AT94+AV94+AX94+AZ94+BB94+BD94+BF94+BH94+BJ94+BL94+BN94)</f>
        <v>101038885.934</v>
      </c>
      <c r="BQ94" s="88">
        <f t="shared" ref="BQ94:BQ100" si="21">SUM(C94+E94+G94+I94+K94+M94+O94+Q94+S94+U94+W94+Y94+AA94+AC94+AE94+AG94+AI94+AK94+AM94+AO94+AQ94+AS94+AU94+AW94+AY94+BA94+BC94+BE94+BG94+BI94+BK94+BM94+BO94)</f>
        <v>198425943.51999998</v>
      </c>
    </row>
    <row r="95" spans="1:69" x14ac:dyDescent="0.25">
      <c r="A95" s="26" t="s">
        <v>279</v>
      </c>
      <c r="B95" s="10">
        <f t="shared" ref="B95:AI95" si="22">B106-B84-B73-B62-B40-B29-B18-B7-B51</f>
        <v>0</v>
      </c>
      <c r="C95" s="10">
        <f t="shared" si="22"/>
        <v>0</v>
      </c>
      <c r="D95" s="10">
        <f t="shared" si="22"/>
        <v>0</v>
      </c>
      <c r="E95" s="10">
        <f t="shared" si="22"/>
        <v>0</v>
      </c>
      <c r="F95" s="10">
        <f t="shared" si="22"/>
        <v>17490112</v>
      </c>
      <c r="G95" s="10">
        <f t="shared" si="22"/>
        <v>40944257</v>
      </c>
      <c r="H95" s="10">
        <f t="shared" si="22"/>
        <v>1017227</v>
      </c>
      <c r="I95" s="10">
        <f t="shared" si="22"/>
        <v>5704776</v>
      </c>
      <c r="J95" s="10">
        <f t="shared" si="22"/>
        <v>356551</v>
      </c>
      <c r="K95" s="10">
        <f t="shared" si="22"/>
        <v>1202568</v>
      </c>
      <c r="L95" s="10">
        <f t="shared" si="22"/>
        <v>209775</v>
      </c>
      <c r="M95" s="10">
        <f t="shared" si="22"/>
        <v>209775</v>
      </c>
      <c r="N95" s="10">
        <f t="shared" si="22"/>
        <v>2017869.31</v>
      </c>
      <c r="O95" s="10">
        <f t="shared" si="22"/>
        <v>71016413.090000004</v>
      </c>
      <c r="P95" s="10">
        <f t="shared" si="22"/>
        <v>448</v>
      </c>
      <c r="Q95" s="10">
        <f t="shared" si="22"/>
        <v>448</v>
      </c>
      <c r="R95" s="10">
        <f t="shared" si="22"/>
        <v>2031411</v>
      </c>
      <c r="S95" s="10">
        <f t="shared" si="22"/>
        <v>2031411</v>
      </c>
      <c r="T95" s="10">
        <f t="shared" si="22"/>
        <v>418946</v>
      </c>
      <c r="U95" s="10">
        <f t="shared" si="22"/>
        <v>418945.70999999996</v>
      </c>
      <c r="V95" s="10">
        <f t="shared" si="22"/>
        <v>21148152</v>
      </c>
      <c r="W95" s="10">
        <f t="shared" si="22"/>
        <v>21148152</v>
      </c>
      <c r="X95" s="10">
        <f t="shared" si="22"/>
        <v>130621</v>
      </c>
      <c r="Y95" s="10">
        <f t="shared" si="22"/>
        <v>130621</v>
      </c>
      <c r="Z95" s="10">
        <f t="shared" si="22"/>
        <v>17639675</v>
      </c>
      <c r="AA95" s="10">
        <f t="shared" si="22"/>
        <v>17639675</v>
      </c>
      <c r="AB95" s="10">
        <f t="shared" si="22"/>
        <v>-785681</v>
      </c>
      <c r="AC95" s="10">
        <f t="shared" si="22"/>
        <v>4274773</v>
      </c>
      <c r="AD95" s="10">
        <f t="shared" si="22"/>
        <v>19893</v>
      </c>
      <c r="AE95" s="10">
        <f t="shared" si="22"/>
        <v>19893</v>
      </c>
      <c r="AF95" s="10">
        <f t="shared" si="22"/>
        <v>423587</v>
      </c>
      <c r="AG95" s="10">
        <f t="shared" si="22"/>
        <v>423587</v>
      </c>
      <c r="AH95" s="10">
        <f t="shared" si="22"/>
        <v>1132111</v>
      </c>
      <c r="AI95" s="10">
        <f t="shared" si="22"/>
        <v>1132111</v>
      </c>
      <c r="AJ95" s="10">
        <f t="shared" ref="AJ95:BO95" si="23">AJ106-AJ84-AJ73-AJ62-AJ40-AJ29-AJ18-AJ7-AJ51</f>
        <v>0</v>
      </c>
      <c r="AK95" s="10">
        <f t="shared" si="23"/>
        <v>0</v>
      </c>
      <c r="AL95" s="10">
        <f t="shared" si="23"/>
        <v>-1</v>
      </c>
      <c r="AM95" s="10">
        <f t="shared" si="23"/>
        <v>-1</v>
      </c>
      <c r="AN95" s="10">
        <f t="shared" si="23"/>
        <v>2127427.5153020895</v>
      </c>
      <c r="AO95" s="10">
        <f t="shared" si="23"/>
        <v>13005112.433211945</v>
      </c>
      <c r="AP95" s="10">
        <f t="shared" si="23"/>
        <v>10063</v>
      </c>
      <c r="AQ95" s="10">
        <f t="shared" si="23"/>
        <v>10063</v>
      </c>
      <c r="AR95" s="10">
        <f t="shared" si="23"/>
        <v>35440</v>
      </c>
      <c r="AS95" s="10">
        <f t="shared" si="23"/>
        <v>446044</v>
      </c>
      <c r="AT95" s="10">
        <f t="shared" si="23"/>
        <v>6154772</v>
      </c>
      <c r="AU95" s="10">
        <f t="shared" si="23"/>
        <v>6154772</v>
      </c>
      <c r="AV95" s="10">
        <f t="shared" si="23"/>
        <v>0</v>
      </c>
      <c r="AW95" s="10">
        <f t="shared" si="23"/>
        <v>0</v>
      </c>
      <c r="AX95" s="10">
        <f t="shared" si="23"/>
        <v>-3155871</v>
      </c>
      <c r="AY95" s="10">
        <f t="shared" si="23"/>
        <v>1163688</v>
      </c>
      <c r="AZ95" s="10">
        <f t="shared" ref="AZ95:BA95" si="24">AZ106-AZ84-AZ73-AZ62-AZ40-AZ29-AZ18-AZ7-AZ51</f>
        <v>6426830</v>
      </c>
      <c r="BA95" s="10">
        <f t="shared" si="24"/>
        <v>6426830</v>
      </c>
      <c r="BB95" s="10">
        <f t="shared" si="23"/>
        <v>179755</v>
      </c>
      <c r="BC95" s="10">
        <f t="shared" si="23"/>
        <v>179755</v>
      </c>
      <c r="BD95" s="10">
        <f t="shared" si="23"/>
        <v>4083415</v>
      </c>
      <c r="BE95" s="10">
        <f t="shared" si="23"/>
        <v>10327162</v>
      </c>
      <c r="BF95" s="10">
        <f t="shared" si="23"/>
        <v>2605272</v>
      </c>
      <c r="BG95" s="10">
        <f t="shared" si="23"/>
        <v>2605272</v>
      </c>
      <c r="BH95" s="10">
        <f t="shared" si="23"/>
        <v>35633889</v>
      </c>
      <c r="BI95" s="10">
        <f t="shared" si="23"/>
        <v>35633889</v>
      </c>
      <c r="BJ95" s="10">
        <f t="shared" si="23"/>
        <v>-7930312</v>
      </c>
      <c r="BK95" s="10">
        <f t="shared" si="23"/>
        <v>20706956</v>
      </c>
      <c r="BL95" s="10">
        <f t="shared" si="23"/>
        <v>13864332</v>
      </c>
      <c r="BM95" s="10">
        <f t="shared" si="23"/>
        <v>13864332</v>
      </c>
      <c r="BN95" s="10">
        <f t="shared" si="23"/>
        <v>166293</v>
      </c>
      <c r="BO95" s="10">
        <f t="shared" si="23"/>
        <v>1253592</v>
      </c>
      <c r="BP95" s="88">
        <f t="shared" si="20"/>
        <v>123452001.82530209</v>
      </c>
      <c r="BQ95" s="88">
        <f t="shared" si="21"/>
        <v>278074872.23321199</v>
      </c>
    </row>
    <row r="96" spans="1:69" x14ac:dyDescent="0.25">
      <c r="A96" s="26" t="s">
        <v>278</v>
      </c>
      <c r="B96" s="10">
        <f t="shared" ref="B96:AI96" si="25">B107-B85-B74-B63-B41-B30-B19-B8-B52</f>
        <v>0</v>
      </c>
      <c r="C96" s="10">
        <f t="shared" si="25"/>
        <v>0</v>
      </c>
      <c r="D96" s="10">
        <f t="shared" si="25"/>
        <v>0</v>
      </c>
      <c r="E96" s="10">
        <f t="shared" si="25"/>
        <v>0</v>
      </c>
      <c r="F96" s="10">
        <f t="shared" si="25"/>
        <v>0</v>
      </c>
      <c r="G96" s="10">
        <f t="shared" si="25"/>
        <v>30548700</v>
      </c>
      <c r="H96" s="10">
        <f t="shared" si="25"/>
        <v>0</v>
      </c>
      <c r="I96" s="10">
        <f t="shared" si="25"/>
        <v>5945011</v>
      </c>
      <c r="J96" s="10">
        <f t="shared" si="25"/>
        <v>0</v>
      </c>
      <c r="K96" s="10">
        <f t="shared" si="25"/>
        <v>1014344</v>
      </c>
      <c r="L96" s="10">
        <f t="shared" si="25"/>
        <v>204260</v>
      </c>
      <c r="M96" s="10">
        <f t="shared" si="25"/>
        <v>229419</v>
      </c>
      <c r="N96" s="10">
        <f t="shared" si="25"/>
        <v>0</v>
      </c>
      <c r="O96" s="10">
        <f t="shared" si="25"/>
        <v>66741573.270000003</v>
      </c>
      <c r="P96" s="10">
        <f t="shared" si="25"/>
        <v>91</v>
      </c>
      <c r="Q96" s="10">
        <f t="shared" si="25"/>
        <v>506</v>
      </c>
      <c r="R96" s="10">
        <f t="shared" si="25"/>
        <v>2166019</v>
      </c>
      <c r="S96" s="10">
        <f t="shared" si="25"/>
        <v>2227212</v>
      </c>
      <c r="T96" s="10">
        <f t="shared" si="25"/>
        <v>464840</v>
      </c>
      <c r="U96" s="10">
        <f t="shared" si="25"/>
        <v>556132.53</v>
      </c>
      <c r="V96" s="10">
        <f t="shared" si="25"/>
        <v>-16682932</v>
      </c>
      <c r="W96" s="10">
        <f t="shared" si="25"/>
        <v>-23223637</v>
      </c>
      <c r="X96" s="10">
        <f t="shared" si="25"/>
        <v>156611</v>
      </c>
      <c r="Y96" s="10">
        <f t="shared" si="25"/>
        <v>140510</v>
      </c>
      <c r="Z96" s="10">
        <f t="shared" si="25"/>
        <v>18112766</v>
      </c>
      <c r="AA96" s="10">
        <f t="shared" si="25"/>
        <v>32274630</v>
      </c>
      <c r="AB96" s="10">
        <f t="shared" si="25"/>
        <v>-1</v>
      </c>
      <c r="AC96" s="10">
        <f t="shared" si="25"/>
        <v>5094474</v>
      </c>
      <c r="AD96" s="10">
        <f t="shared" si="25"/>
        <v>15468</v>
      </c>
      <c r="AE96" s="10">
        <f t="shared" si="25"/>
        <v>13421</v>
      </c>
      <c r="AF96" s="10">
        <f t="shared" si="25"/>
        <v>465081</v>
      </c>
      <c r="AG96" s="10">
        <f t="shared" si="25"/>
        <v>353723</v>
      </c>
      <c r="AH96" s="10">
        <f t="shared" si="25"/>
        <v>-1111638</v>
      </c>
      <c r="AI96" s="10">
        <f t="shared" si="25"/>
        <v>-1082255</v>
      </c>
      <c r="AJ96" s="10">
        <f t="shared" ref="AJ96:BO96" si="26">AJ107-AJ85-AJ74-AJ63-AJ41-AJ30-AJ19-AJ8-AJ52</f>
        <v>0</v>
      </c>
      <c r="AK96" s="10">
        <f t="shared" si="26"/>
        <v>0</v>
      </c>
      <c r="AL96" s="10">
        <f t="shared" si="26"/>
        <v>0</v>
      </c>
      <c r="AM96" s="10">
        <f t="shared" si="26"/>
        <v>0</v>
      </c>
      <c r="AN96" s="10">
        <f t="shared" si="26"/>
        <v>0</v>
      </c>
      <c r="AO96" s="10">
        <f t="shared" si="26"/>
        <v>11296161.485349488</v>
      </c>
      <c r="AP96" s="10">
        <f t="shared" si="26"/>
        <v>-15719</v>
      </c>
      <c r="AQ96" s="10">
        <f t="shared" si="26"/>
        <v>-7614</v>
      </c>
      <c r="AR96" s="10">
        <f t="shared" si="26"/>
        <v>0</v>
      </c>
      <c r="AS96" s="10">
        <f t="shared" si="26"/>
        <v>365917</v>
      </c>
      <c r="AT96" s="10">
        <f t="shared" si="26"/>
        <v>4573162</v>
      </c>
      <c r="AU96" s="10">
        <f t="shared" si="26"/>
        <v>4006897</v>
      </c>
      <c r="AV96" s="10">
        <f t="shared" si="26"/>
        <v>0</v>
      </c>
      <c r="AW96" s="10">
        <f t="shared" si="26"/>
        <v>0</v>
      </c>
      <c r="AX96" s="10">
        <f t="shared" si="26"/>
        <v>0</v>
      </c>
      <c r="AY96" s="10">
        <f t="shared" si="26"/>
        <v>-4646894</v>
      </c>
      <c r="AZ96" s="10">
        <f t="shared" ref="AZ96:BA96" si="27">AZ107-AZ85-AZ74-AZ63-AZ41-AZ30-AZ19-AZ8-AZ52</f>
        <v>5379844</v>
      </c>
      <c r="BA96" s="10">
        <f t="shared" si="27"/>
        <v>5891498</v>
      </c>
      <c r="BB96" s="10">
        <f t="shared" si="26"/>
        <v>162349</v>
      </c>
      <c r="BC96" s="10">
        <f t="shared" si="26"/>
        <v>155510</v>
      </c>
      <c r="BD96" s="10">
        <f t="shared" si="26"/>
        <v>0</v>
      </c>
      <c r="BE96" s="10">
        <f t="shared" si="26"/>
        <v>5613924</v>
      </c>
      <c r="BF96" s="10">
        <f t="shared" si="26"/>
        <v>3535663</v>
      </c>
      <c r="BG96" s="10">
        <f t="shared" si="26"/>
        <v>3423599</v>
      </c>
      <c r="BH96" s="10">
        <f t="shared" si="26"/>
        <v>35097648</v>
      </c>
      <c r="BI96" s="10">
        <f t="shared" si="26"/>
        <v>40171069</v>
      </c>
      <c r="BJ96" s="10">
        <f t="shared" si="26"/>
        <v>0</v>
      </c>
      <c r="BK96" s="10">
        <f t="shared" si="26"/>
        <v>31681158</v>
      </c>
      <c r="BL96" s="10">
        <f t="shared" si="26"/>
        <v>27683152</v>
      </c>
      <c r="BM96" s="10">
        <f t="shared" si="26"/>
        <v>26621788</v>
      </c>
      <c r="BN96" s="10">
        <f t="shared" si="26"/>
        <v>0</v>
      </c>
      <c r="BO96" s="10">
        <f t="shared" si="26"/>
        <v>1113818</v>
      </c>
      <c r="BP96" s="88">
        <f t="shared" si="20"/>
        <v>80206664</v>
      </c>
      <c r="BQ96" s="88">
        <f t="shared" si="21"/>
        <v>246520595.28534949</v>
      </c>
    </row>
    <row r="97" spans="1:69" x14ac:dyDescent="0.25">
      <c r="A97" s="26" t="s">
        <v>284</v>
      </c>
      <c r="B97" s="10">
        <f t="shared" ref="B97:AI97" si="28">B108-B86-B75-B64-B42-B31-B20-B9-B53</f>
        <v>0</v>
      </c>
      <c r="C97" s="10">
        <f t="shared" si="28"/>
        <v>0</v>
      </c>
      <c r="D97" s="10">
        <f t="shared" si="28"/>
        <v>0</v>
      </c>
      <c r="E97" s="10">
        <f t="shared" si="28"/>
        <v>0</v>
      </c>
      <c r="F97" s="10">
        <f t="shared" si="28"/>
        <v>0</v>
      </c>
      <c r="G97" s="10">
        <f t="shared" si="28"/>
        <v>0</v>
      </c>
      <c r="H97" s="10">
        <f t="shared" si="28"/>
        <v>8021531</v>
      </c>
      <c r="I97" s="10">
        <f t="shared" si="28"/>
        <v>16783043</v>
      </c>
      <c r="J97" s="10">
        <f t="shared" si="28"/>
        <v>0</v>
      </c>
      <c r="K97" s="10">
        <f t="shared" si="28"/>
        <v>0</v>
      </c>
      <c r="L97" s="10">
        <f t="shared" si="28"/>
        <v>74857</v>
      </c>
      <c r="M97" s="10">
        <f t="shared" si="28"/>
        <v>250641</v>
      </c>
      <c r="N97" s="10">
        <f t="shared" si="28"/>
        <v>0</v>
      </c>
      <c r="O97" s="10">
        <f t="shared" si="28"/>
        <v>0</v>
      </c>
      <c r="P97" s="10">
        <f t="shared" si="28"/>
        <v>357</v>
      </c>
      <c r="Q97" s="10">
        <f t="shared" si="28"/>
        <v>-58</v>
      </c>
      <c r="R97" s="10">
        <f t="shared" si="28"/>
        <v>0</v>
      </c>
      <c r="S97" s="10">
        <f t="shared" si="28"/>
        <v>0</v>
      </c>
      <c r="T97" s="10">
        <f t="shared" si="28"/>
        <v>0</v>
      </c>
      <c r="U97" s="10">
        <f t="shared" si="28"/>
        <v>0</v>
      </c>
      <c r="V97" s="10">
        <f t="shared" si="28"/>
        <v>9574836</v>
      </c>
      <c r="W97" s="10">
        <f t="shared" si="28"/>
        <v>10929773</v>
      </c>
      <c r="X97" s="10">
        <f t="shared" si="28"/>
        <v>-4233</v>
      </c>
      <c r="Y97" s="10">
        <f t="shared" si="28"/>
        <v>13445</v>
      </c>
      <c r="Z97" s="10">
        <f t="shared" si="28"/>
        <v>724587</v>
      </c>
      <c r="AA97" s="10">
        <f t="shared" si="28"/>
        <v>2089218</v>
      </c>
      <c r="AB97" s="10">
        <f t="shared" si="28"/>
        <v>6970055</v>
      </c>
      <c r="AC97" s="10">
        <f t="shared" si="28"/>
        <v>7749474</v>
      </c>
      <c r="AD97" s="10">
        <f t="shared" si="28"/>
        <v>5232</v>
      </c>
      <c r="AE97" s="10">
        <f t="shared" si="28"/>
        <v>8459</v>
      </c>
      <c r="AF97" s="10">
        <f t="shared" si="28"/>
        <v>13169</v>
      </c>
      <c r="AG97" s="10">
        <f t="shared" si="28"/>
        <v>152556</v>
      </c>
      <c r="AH97" s="10">
        <f t="shared" si="28"/>
        <v>21886</v>
      </c>
      <c r="AI97" s="10">
        <f t="shared" si="28"/>
        <v>51935</v>
      </c>
      <c r="AJ97" s="10">
        <f t="shared" ref="AJ97:BO97" si="29">AJ108-AJ86-AJ75-AJ64-AJ42-AJ31-AJ20-AJ9-AJ53</f>
        <v>0</v>
      </c>
      <c r="AK97" s="10">
        <f t="shared" si="29"/>
        <v>1</v>
      </c>
      <c r="AL97" s="10">
        <f t="shared" si="29"/>
        <v>0</v>
      </c>
      <c r="AM97" s="10">
        <f t="shared" si="29"/>
        <v>0</v>
      </c>
      <c r="AN97" s="10">
        <f t="shared" si="29"/>
        <v>0</v>
      </c>
      <c r="AO97" s="10">
        <f t="shared" si="29"/>
        <v>0</v>
      </c>
      <c r="AP97" s="10">
        <f t="shared" si="29"/>
        <v>11536</v>
      </c>
      <c r="AQ97" s="10">
        <f t="shared" si="29"/>
        <v>23559</v>
      </c>
      <c r="AR97" s="10">
        <f t="shared" si="29"/>
        <v>52231</v>
      </c>
      <c r="AS97" s="10">
        <f t="shared" si="29"/>
        <v>103674</v>
      </c>
      <c r="AT97" s="10">
        <f t="shared" si="29"/>
        <v>0</v>
      </c>
      <c r="AU97" s="10">
        <f t="shared" si="29"/>
        <v>0</v>
      </c>
      <c r="AV97" s="10">
        <f t="shared" si="29"/>
        <v>0</v>
      </c>
      <c r="AW97" s="10">
        <f t="shared" si="29"/>
        <v>0</v>
      </c>
      <c r="AX97" s="10">
        <f t="shared" si="29"/>
        <v>-1337677</v>
      </c>
      <c r="AY97" s="10">
        <f t="shared" si="29"/>
        <v>-1293315</v>
      </c>
      <c r="AZ97" s="10">
        <f t="shared" ref="AZ97:BA99" si="30">AZ108-AZ86-AZ75-AZ64-AZ42-AZ31-AZ20-AZ9-AZ53</f>
        <v>0</v>
      </c>
      <c r="BA97" s="10">
        <f t="shared" si="30"/>
        <v>0</v>
      </c>
      <c r="BB97" s="10">
        <f t="shared" si="29"/>
        <v>0</v>
      </c>
      <c r="BC97" s="10">
        <f t="shared" si="29"/>
        <v>0</v>
      </c>
      <c r="BD97" s="10">
        <f t="shared" si="29"/>
        <v>14243983</v>
      </c>
      <c r="BE97" s="10">
        <f t="shared" si="29"/>
        <v>21263285</v>
      </c>
      <c r="BF97" s="10">
        <f t="shared" si="29"/>
        <v>-103367</v>
      </c>
      <c r="BG97" s="10">
        <f t="shared" si="29"/>
        <v>343358</v>
      </c>
      <c r="BH97" s="10">
        <f t="shared" si="29"/>
        <v>6626667</v>
      </c>
      <c r="BI97" s="10">
        <f t="shared" si="29"/>
        <v>8872873</v>
      </c>
      <c r="BJ97" s="10">
        <f t="shared" si="29"/>
        <v>579975</v>
      </c>
      <c r="BK97" s="10">
        <f t="shared" si="29"/>
        <v>2747515</v>
      </c>
      <c r="BL97" s="10">
        <f t="shared" si="29"/>
        <v>1585651</v>
      </c>
      <c r="BM97" s="10">
        <f t="shared" si="29"/>
        <v>3444163</v>
      </c>
      <c r="BN97" s="10">
        <f t="shared" si="29"/>
        <v>1262222</v>
      </c>
      <c r="BO97" s="10">
        <f t="shared" si="29"/>
        <v>1421790</v>
      </c>
      <c r="BP97" s="88">
        <f t="shared" si="20"/>
        <v>48323498</v>
      </c>
      <c r="BQ97" s="88">
        <f t="shared" si="21"/>
        <v>74955389</v>
      </c>
    </row>
    <row r="98" spans="1:69" x14ac:dyDescent="0.25">
      <c r="A98" s="26" t="s">
        <v>276</v>
      </c>
      <c r="B98" s="10">
        <f t="shared" ref="B98:AI98" si="31">B109-B87-B76-B65-B43-B32-B21-B10-B54</f>
        <v>0</v>
      </c>
      <c r="C98" s="10">
        <f t="shared" si="31"/>
        <v>0</v>
      </c>
      <c r="D98" s="10">
        <f t="shared" si="31"/>
        <v>0</v>
      </c>
      <c r="E98" s="10">
        <f t="shared" si="31"/>
        <v>0</v>
      </c>
      <c r="F98" s="10">
        <f t="shared" si="31"/>
        <v>0</v>
      </c>
      <c r="G98" s="10">
        <f t="shared" si="31"/>
        <v>0</v>
      </c>
      <c r="H98" s="10">
        <f t="shared" si="31"/>
        <v>0</v>
      </c>
      <c r="I98" s="10">
        <f t="shared" si="31"/>
        <v>3</v>
      </c>
      <c r="J98" s="10">
        <f t="shared" si="31"/>
        <v>0</v>
      </c>
      <c r="K98" s="10">
        <f t="shared" si="31"/>
        <v>0</v>
      </c>
      <c r="L98" s="10">
        <f t="shared" si="31"/>
        <v>1</v>
      </c>
      <c r="M98" s="10">
        <f t="shared" si="31"/>
        <v>1</v>
      </c>
      <c r="N98" s="10">
        <f t="shared" si="31"/>
        <v>0</v>
      </c>
      <c r="O98" s="10">
        <f t="shared" si="31"/>
        <v>0</v>
      </c>
      <c r="P98" s="10">
        <f t="shared" si="31"/>
        <v>0</v>
      </c>
      <c r="Q98" s="10">
        <f t="shared" si="31"/>
        <v>0</v>
      </c>
      <c r="R98" s="10">
        <f t="shared" si="31"/>
        <v>0</v>
      </c>
      <c r="S98" s="10">
        <f t="shared" si="31"/>
        <v>0</v>
      </c>
      <c r="T98" s="10">
        <f t="shared" si="31"/>
        <v>225439</v>
      </c>
      <c r="U98" s="10">
        <f t="shared" si="31"/>
        <v>524625.48</v>
      </c>
      <c r="V98" s="10">
        <f t="shared" si="31"/>
        <v>-1</v>
      </c>
      <c r="W98" s="10">
        <f t="shared" si="31"/>
        <v>0</v>
      </c>
      <c r="X98" s="10">
        <f t="shared" si="31"/>
        <v>0</v>
      </c>
      <c r="Y98" s="10">
        <f t="shared" si="31"/>
        <v>0</v>
      </c>
      <c r="Z98" s="10">
        <f t="shared" si="31"/>
        <v>0</v>
      </c>
      <c r="AA98" s="10">
        <f t="shared" si="31"/>
        <v>0</v>
      </c>
      <c r="AB98" s="10">
        <f t="shared" si="31"/>
        <v>0</v>
      </c>
      <c r="AC98" s="10">
        <f t="shared" si="31"/>
        <v>0</v>
      </c>
      <c r="AD98" s="10">
        <f t="shared" si="31"/>
        <v>0</v>
      </c>
      <c r="AE98" s="10">
        <f t="shared" si="31"/>
        <v>0</v>
      </c>
      <c r="AF98" s="10">
        <f t="shared" si="31"/>
        <v>0</v>
      </c>
      <c r="AG98" s="10">
        <f t="shared" si="31"/>
        <v>0</v>
      </c>
      <c r="AH98" s="10">
        <f t="shared" si="31"/>
        <v>0</v>
      </c>
      <c r="AI98" s="10">
        <f t="shared" si="31"/>
        <v>0</v>
      </c>
      <c r="AJ98" s="10">
        <f t="shared" ref="AJ98:BO98" si="32">AJ109-AJ87-AJ76-AJ65-AJ43-AJ32-AJ21-AJ10-AJ54</f>
        <v>0</v>
      </c>
      <c r="AK98" s="10">
        <f t="shared" si="32"/>
        <v>0</v>
      </c>
      <c r="AL98" s="10">
        <f t="shared" si="32"/>
        <v>0</v>
      </c>
      <c r="AM98" s="10">
        <f t="shared" si="32"/>
        <v>0</v>
      </c>
      <c r="AN98" s="10">
        <f t="shared" si="32"/>
        <v>13660.151999999973</v>
      </c>
      <c r="AO98" s="10">
        <f t="shared" si="32"/>
        <v>101364.95499999984</v>
      </c>
      <c r="AP98" s="10">
        <f t="shared" si="32"/>
        <v>0</v>
      </c>
      <c r="AQ98" s="10">
        <f t="shared" si="32"/>
        <v>0</v>
      </c>
      <c r="AR98" s="10">
        <f t="shared" si="32"/>
        <v>2816</v>
      </c>
      <c r="AS98" s="10">
        <f t="shared" si="32"/>
        <v>2816</v>
      </c>
      <c r="AT98" s="10">
        <f t="shared" si="32"/>
        <v>-1</v>
      </c>
      <c r="AU98" s="10">
        <f t="shared" si="32"/>
        <v>1</v>
      </c>
      <c r="AV98" s="10">
        <f t="shared" si="32"/>
        <v>0</v>
      </c>
      <c r="AW98" s="10">
        <f t="shared" si="32"/>
        <v>0</v>
      </c>
      <c r="AX98" s="10">
        <f t="shared" si="32"/>
        <v>2045</v>
      </c>
      <c r="AY98" s="10">
        <f t="shared" si="32"/>
        <v>2045</v>
      </c>
      <c r="AZ98" s="10">
        <f t="shared" si="30"/>
        <v>0</v>
      </c>
      <c r="BA98" s="10">
        <f t="shared" si="30"/>
        <v>0</v>
      </c>
      <c r="BB98" s="10">
        <f t="shared" si="32"/>
        <v>0</v>
      </c>
      <c r="BC98" s="10">
        <f t="shared" si="32"/>
        <v>0</v>
      </c>
      <c r="BD98" s="10">
        <f t="shared" si="32"/>
        <v>0</v>
      </c>
      <c r="BE98" s="10">
        <f t="shared" si="32"/>
        <v>0</v>
      </c>
      <c r="BF98" s="10">
        <f t="shared" si="32"/>
        <v>0</v>
      </c>
      <c r="BG98" s="10">
        <f t="shared" si="32"/>
        <v>1</v>
      </c>
      <c r="BH98" s="10">
        <f t="shared" si="32"/>
        <v>0</v>
      </c>
      <c r="BI98" s="10">
        <f t="shared" si="32"/>
        <v>0</v>
      </c>
      <c r="BJ98" s="10">
        <f t="shared" si="32"/>
        <v>-51699</v>
      </c>
      <c r="BK98" s="10">
        <f t="shared" si="32"/>
        <v>-43930</v>
      </c>
      <c r="BL98" s="10">
        <f t="shared" si="32"/>
        <v>26792</v>
      </c>
      <c r="BM98" s="10">
        <f t="shared" si="32"/>
        <v>-51899</v>
      </c>
      <c r="BN98" s="10">
        <f t="shared" si="32"/>
        <v>0</v>
      </c>
      <c r="BO98" s="10">
        <f t="shared" si="32"/>
        <v>0</v>
      </c>
      <c r="BP98" s="88">
        <f t="shared" si="20"/>
        <v>219052.15199999997</v>
      </c>
      <c r="BQ98" s="88">
        <f t="shared" si="21"/>
        <v>535028.43499999982</v>
      </c>
    </row>
    <row r="99" spans="1:69" x14ac:dyDescent="0.25">
      <c r="A99" s="26" t="s">
        <v>277</v>
      </c>
      <c r="B99" s="10">
        <f t="shared" ref="B99:AI99" si="33">B110-B88-B77-B66-B44-B33-B22-B11-B55</f>
        <v>0</v>
      </c>
      <c r="C99" s="10">
        <f t="shared" si="33"/>
        <v>0</v>
      </c>
      <c r="D99" s="10">
        <f t="shared" si="33"/>
        <v>0</v>
      </c>
      <c r="E99" s="10">
        <f t="shared" si="33"/>
        <v>0</v>
      </c>
      <c r="F99" s="10">
        <f t="shared" si="33"/>
        <v>0</v>
      </c>
      <c r="G99" s="10">
        <f t="shared" si="33"/>
        <v>0</v>
      </c>
      <c r="H99" s="10">
        <f t="shared" si="33"/>
        <v>5450085</v>
      </c>
      <c r="I99" s="10">
        <f t="shared" si="33"/>
        <v>13421819</v>
      </c>
      <c r="J99" s="10">
        <f t="shared" si="33"/>
        <v>78964</v>
      </c>
      <c r="K99" s="10">
        <f t="shared" si="33"/>
        <v>95715</v>
      </c>
      <c r="L99" s="10">
        <f t="shared" si="33"/>
        <v>43381</v>
      </c>
      <c r="M99" s="10">
        <f t="shared" si="33"/>
        <v>205374</v>
      </c>
      <c r="N99" s="10">
        <f t="shared" si="33"/>
        <v>574865.36</v>
      </c>
      <c r="O99" s="10">
        <f t="shared" si="33"/>
        <v>1120598.6299999999</v>
      </c>
      <c r="P99" s="10">
        <f t="shared" si="33"/>
        <v>242</v>
      </c>
      <c r="Q99" s="10">
        <f t="shared" si="33"/>
        <v>-200</v>
      </c>
      <c r="R99" s="10">
        <f t="shared" si="33"/>
        <v>857299</v>
      </c>
      <c r="S99" s="10">
        <f t="shared" si="33"/>
        <v>2131130</v>
      </c>
      <c r="T99" s="10">
        <f t="shared" si="33"/>
        <v>83659</v>
      </c>
      <c r="U99" s="10">
        <f t="shared" si="33"/>
        <v>225771.33999999997</v>
      </c>
      <c r="V99" s="10">
        <f t="shared" si="33"/>
        <v>0</v>
      </c>
      <c r="W99" s="10">
        <f t="shared" si="33"/>
        <v>0</v>
      </c>
      <c r="X99" s="10">
        <f t="shared" si="33"/>
        <v>1083</v>
      </c>
      <c r="Y99" s="10">
        <f t="shared" si="33"/>
        <v>1161</v>
      </c>
      <c r="Z99" s="10">
        <f t="shared" si="33"/>
        <v>0</v>
      </c>
      <c r="AA99" s="10">
        <f t="shared" si="33"/>
        <v>0</v>
      </c>
      <c r="AB99" s="10">
        <f t="shared" si="33"/>
        <v>5686899</v>
      </c>
      <c r="AC99" s="10">
        <f t="shared" si="33"/>
        <v>6252383</v>
      </c>
      <c r="AD99" s="10">
        <f t="shared" si="33"/>
        <v>222</v>
      </c>
      <c r="AE99" s="10">
        <f t="shared" si="33"/>
        <v>719</v>
      </c>
      <c r="AF99" s="10">
        <f t="shared" si="33"/>
        <v>17153</v>
      </c>
      <c r="AG99" s="10">
        <f t="shared" si="33"/>
        <v>26073</v>
      </c>
      <c r="AH99" s="10">
        <f t="shared" si="33"/>
        <v>0</v>
      </c>
      <c r="AI99" s="10">
        <f t="shared" si="33"/>
        <v>0</v>
      </c>
      <c r="AJ99" s="10">
        <f t="shared" ref="AJ99:BO99" si="34">AJ110-AJ88-AJ77-AJ66-AJ44-AJ33-AJ22-AJ11-AJ55</f>
        <v>-1</v>
      </c>
      <c r="AK99" s="10">
        <f t="shared" si="34"/>
        <v>0</v>
      </c>
      <c r="AL99" s="10">
        <f t="shared" si="34"/>
        <v>0</v>
      </c>
      <c r="AM99" s="10">
        <f t="shared" si="34"/>
        <v>0</v>
      </c>
      <c r="AN99" s="10">
        <f t="shared" si="34"/>
        <v>655564.2872285</v>
      </c>
      <c r="AO99" s="10">
        <f t="shared" si="34"/>
        <v>2788206.4430325003</v>
      </c>
      <c r="AP99" s="10">
        <f t="shared" si="34"/>
        <v>0</v>
      </c>
      <c r="AQ99" s="10">
        <f t="shared" si="34"/>
        <v>0</v>
      </c>
      <c r="AR99" s="10">
        <f t="shared" si="34"/>
        <v>1165</v>
      </c>
      <c r="AS99" s="10">
        <f t="shared" si="34"/>
        <v>2572</v>
      </c>
      <c r="AT99" s="10">
        <f t="shared" si="34"/>
        <v>2174113</v>
      </c>
      <c r="AU99" s="10">
        <f t="shared" si="34"/>
        <v>3454904</v>
      </c>
      <c r="AV99" s="10">
        <f t="shared" si="34"/>
        <v>0</v>
      </c>
      <c r="AW99" s="10">
        <f t="shared" si="34"/>
        <v>0</v>
      </c>
      <c r="AX99" s="10">
        <f t="shared" si="34"/>
        <v>-1310071</v>
      </c>
      <c r="AY99" s="10">
        <f t="shared" si="34"/>
        <v>-1624182</v>
      </c>
      <c r="AZ99" s="10">
        <f t="shared" si="30"/>
        <v>1823408</v>
      </c>
      <c r="BA99" s="10">
        <f t="shared" si="30"/>
        <v>6006915</v>
      </c>
      <c r="BB99" s="10">
        <f t="shared" si="34"/>
        <v>1168</v>
      </c>
      <c r="BC99" s="10">
        <f t="shared" si="34"/>
        <v>2113</v>
      </c>
      <c r="BD99" s="10">
        <f t="shared" si="34"/>
        <v>3336602</v>
      </c>
      <c r="BE99" s="10">
        <f t="shared" si="34"/>
        <v>4920284</v>
      </c>
      <c r="BF99" s="10">
        <f t="shared" si="34"/>
        <v>436884</v>
      </c>
      <c r="BG99" s="10">
        <f t="shared" si="34"/>
        <v>614689</v>
      </c>
      <c r="BH99" s="10">
        <f t="shared" si="34"/>
        <v>0</v>
      </c>
      <c r="BI99" s="10">
        <f t="shared" si="34"/>
        <v>0</v>
      </c>
      <c r="BJ99" s="10">
        <f t="shared" si="34"/>
        <v>-3669655</v>
      </c>
      <c r="BK99" s="10">
        <f t="shared" si="34"/>
        <v>-780892</v>
      </c>
      <c r="BL99" s="10">
        <f t="shared" si="34"/>
        <v>871218</v>
      </c>
      <c r="BM99" s="10">
        <f t="shared" si="34"/>
        <v>1972412</v>
      </c>
      <c r="BN99" s="10">
        <f t="shared" si="34"/>
        <v>845512</v>
      </c>
      <c r="BO99" s="10">
        <f t="shared" si="34"/>
        <v>970022</v>
      </c>
      <c r="BP99" s="88">
        <f t="shared" si="20"/>
        <v>17959759.647228502</v>
      </c>
      <c r="BQ99" s="88">
        <f t="shared" si="21"/>
        <v>41807587.413032502</v>
      </c>
    </row>
    <row r="100" spans="1:69" x14ac:dyDescent="0.25">
      <c r="A100" s="26" t="s">
        <v>273</v>
      </c>
      <c r="B100" s="10">
        <f>B111-B89-B78-B67-B56-B45-B34-B23-B12</f>
        <v>0</v>
      </c>
      <c r="C100" s="10">
        <f t="shared" ref="C100:AI100" si="35">C111-C89-C78-C67-C56-C45-C34-C23-C12</f>
        <v>0</v>
      </c>
      <c r="D100" s="10">
        <f t="shared" si="35"/>
        <v>0</v>
      </c>
      <c r="E100" s="10">
        <f t="shared" si="35"/>
        <v>0</v>
      </c>
      <c r="F100" s="10">
        <f t="shared" si="35"/>
        <v>24355422</v>
      </c>
      <c r="G100" s="10">
        <f t="shared" si="35"/>
        <v>24645237</v>
      </c>
      <c r="H100" s="10">
        <f t="shared" si="35"/>
        <v>2571446</v>
      </c>
      <c r="I100" s="10">
        <f t="shared" si="35"/>
        <v>3361227</v>
      </c>
      <c r="J100" s="10">
        <f t="shared" si="35"/>
        <v>394821</v>
      </c>
      <c r="K100" s="10">
        <f t="shared" si="35"/>
        <v>248821</v>
      </c>
      <c r="L100" s="10">
        <f t="shared" si="35"/>
        <v>31477</v>
      </c>
      <c r="M100" s="10">
        <f t="shared" si="35"/>
        <v>45268</v>
      </c>
      <c r="N100" s="10">
        <f t="shared" si="35"/>
        <v>3437422.71</v>
      </c>
      <c r="O100" s="10">
        <f t="shared" si="35"/>
        <v>7011966.5599999996</v>
      </c>
      <c r="P100" s="10">
        <f t="shared" si="35"/>
        <v>115</v>
      </c>
      <c r="Q100" s="10">
        <f t="shared" si="35"/>
        <v>142</v>
      </c>
      <c r="R100" s="10">
        <f t="shared" si="35"/>
        <v>235294</v>
      </c>
      <c r="S100" s="10">
        <f t="shared" si="35"/>
        <v>621294</v>
      </c>
      <c r="T100" s="10">
        <f t="shared" si="35"/>
        <v>130957</v>
      </c>
      <c r="U100" s="10">
        <f t="shared" si="35"/>
        <v>202934</v>
      </c>
      <c r="V100" s="10">
        <f t="shared" si="35"/>
        <v>2200631</v>
      </c>
      <c r="W100" s="10">
        <f t="shared" si="35"/>
        <v>2676028</v>
      </c>
      <c r="X100" s="10">
        <f t="shared" si="35"/>
        <v>-5316</v>
      </c>
      <c r="Y100" s="10">
        <f t="shared" si="35"/>
        <v>12284</v>
      </c>
      <c r="Z100" s="10">
        <f t="shared" si="35"/>
        <v>451255</v>
      </c>
      <c r="AA100" s="10">
        <f t="shared" si="35"/>
        <v>941899</v>
      </c>
      <c r="AB100" s="10">
        <f t="shared" si="35"/>
        <v>1283156</v>
      </c>
      <c r="AC100" s="10">
        <f t="shared" si="35"/>
        <v>1497091</v>
      </c>
      <c r="AD100" s="10">
        <f t="shared" si="35"/>
        <v>5010</v>
      </c>
      <c r="AE100" s="10">
        <f t="shared" si="35"/>
        <v>7740</v>
      </c>
      <c r="AF100" s="10">
        <f t="shared" si="35"/>
        <v>15387</v>
      </c>
      <c r="AG100" s="10">
        <f t="shared" si="35"/>
        <v>114100</v>
      </c>
      <c r="AH100" s="10">
        <f t="shared" si="35"/>
        <v>102740</v>
      </c>
      <c r="AI100" s="10">
        <f t="shared" si="35"/>
        <v>103786</v>
      </c>
      <c r="AJ100" s="10">
        <f t="shared" ref="AJ100:BO100" si="36">AJ111-AJ89-AJ78-AJ67-AJ56-AJ45-AJ34-AJ23-AJ12</f>
        <v>0</v>
      </c>
      <c r="AK100" s="10">
        <f t="shared" si="36"/>
        <v>0</v>
      </c>
      <c r="AL100" s="10">
        <f t="shared" si="36"/>
        <v>0</v>
      </c>
      <c r="AM100" s="10">
        <f t="shared" si="36"/>
        <v>1</v>
      </c>
      <c r="AN100" s="10">
        <f t="shared" si="36"/>
        <v>2777533.024073597</v>
      </c>
      <c r="AO100" s="10">
        <f t="shared" si="36"/>
        <v>3419132.4898299454</v>
      </c>
      <c r="AP100" s="10">
        <f t="shared" si="36"/>
        <v>10959</v>
      </c>
      <c r="AQ100" s="10">
        <f t="shared" si="36"/>
        <v>22381</v>
      </c>
      <c r="AR100" s="10">
        <f t="shared" si="36"/>
        <v>53883</v>
      </c>
      <c r="AS100" s="10">
        <f t="shared" si="36"/>
        <v>103917</v>
      </c>
      <c r="AT100" s="10">
        <f t="shared" si="36"/>
        <v>2154608</v>
      </c>
      <c r="AU100" s="10">
        <f t="shared" si="36"/>
        <v>2910533</v>
      </c>
      <c r="AV100" s="10">
        <f t="shared" si="36"/>
        <v>0</v>
      </c>
      <c r="AW100" s="10">
        <f t="shared" si="36"/>
        <v>0</v>
      </c>
      <c r="AX100" s="10" t="e">
        <f>#REF!-AX89-#REF!-#REF!-#REF!-#REF!-#REF!-#REF!-#REF!</f>
        <v>#REF!</v>
      </c>
      <c r="AY100" s="10" t="e">
        <f>#REF!-AY89-#REF!-#REF!-#REF!-#REF!-#REF!-#REF!-#REF!</f>
        <v>#REF!</v>
      </c>
      <c r="AZ100" s="10">
        <f>AZ111-AZ89-AZ78-AZ67-AZ56-AZ45-AZ34-AZ23-AZ12</f>
        <v>1951464</v>
      </c>
      <c r="BA100" s="10">
        <f>BA111-BA89-BA78-BA67-BA56-BA45-BA34-BA23-BA12</f>
        <v>3189914</v>
      </c>
      <c r="BB100" s="10">
        <f t="shared" si="36"/>
        <v>21496</v>
      </c>
      <c r="BC100" s="10">
        <f t="shared" si="36"/>
        <v>28929</v>
      </c>
      <c r="BD100" s="10">
        <f t="shared" si="36"/>
        <v>10907381</v>
      </c>
      <c r="BE100" s="10">
        <f t="shared" si="36"/>
        <v>16343001</v>
      </c>
      <c r="BF100" s="10">
        <f t="shared" si="36"/>
        <v>-540251</v>
      </c>
      <c r="BG100" s="10">
        <f t="shared" si="36"/>
        <v>-271330</v>
      </c>
      <c r="BH100" s="10">
        <f t="shared" si="36"/>
        <v>4737547</v>
      </c>
      <c r="BI100" s="10">
        <f t="shared" si="36"/>
        <v>7858179</v>
      </c>
      <c r="BJ100" s="10">
        <f t="shared" si="36"/>
        <v>4197931</v>
      </c>
      <c r="BK100" s="10">
        <f t="shared" si="36"/>
        <v>3484477</v>
      </c>
      <c r="BL100" s="10">
        <f t="shared" si="36"/>
        <v>741225</v>
      </c>
      <c r="BM100" s="10">
        <f t="shared" si="36"/>
        <v>1419852</v>
      </c>
      <c r="BN100" s="10">
        <f t="shared" si="36"/>
        <v>416710</v>
      </c>
      <c r="BO100" s="10">
        <f t="shared" si="36"/>
        <v>451768</v>
      </c>
      <c r="BP100" s="88" t="e">
        <f t="shared" si="20"/>
        <v>#REF!</v>
      </c>
      <c r="BQ100" s="88" t="e">
        <f t="shared" si="21"/>
        <v>#REF!</v>
      </c>
    </row>
    <row r="101" spans="1:69" x14ac:dyDescent="0.25">
      <c r="A101" s="18"/>
    </row>
    <row r="102" spans="1:69" x14ac:dyDescent="0.25">
      <c r="A102" s="33" t="s">
        <v>42</v>
      </c>
    </row>
    <row r="103" spans="1:69" x14ac:dyDescent="0.25">
      <c r="A103" s="3" t="s">
        <v>0</v>
      </c>
      <c r="B103" s="116" t="s">
        <v>1</v>
      </c>
      <c r="C103" s="117"/>
      <c r="D103" s="116" t="s">
        <v>285</v>
      </c>
      <c r="E103" s="117"/>
      <c r="F103" s="116" t="s">
        <v>2</v>
      </c>
      <c r="G103" s="117"/>
      <c r="H103" s="116" t="s">
        <v>3</v>
      </c>
      <c r="I103" s="117"/>
      <c r="J103" s="116" t="s">
        <v>4</v>
      </c>
      <c r="K103" s="117"/>
      <c r="L103" s="116" t="s">
        <v>286</v>
      </c>
      <c r="M103" s="117"/>
      <c r="N103" s="116" t="s">
        <v>6</v>
      </c>
      <c r="O103" s="117"/>
      <c r="P103" s="116" t="s">
        <v>5</v>
      </c>
      <c r="Q103" s="117"/>
      <c r="R103" s="116" t="s">
        <v>7</v>
      </c>
      <c r="S103" s="117"/>
      <c r="T103" s="116" t="s">
        <v>287</v>
      </c>
      <c r="U103" s="117"/>
      <c r="V103" s="116" t="s">
        <v>8</v>
      </c>
      <c r="W103" s="117"/>
      <c r="X103" s="116" t="s">
        <v>288</v>
      </c>
      <c r="Y103" s="117"/>
      <c r="Z103" s="116" t="s">
        <v>9</v>
      </c>
      <c r="AA103" s="117"/>
      <c r="AB103" s="116" t="s">
        <v>10</v>
      </c>
      <c r="AC103" s="117"/>
      <c r="AD103" s="116" t="s">
        <v>289</v>
      </c>
      <c r="AE103" s="117"/>
      <c r="AF103" s="116" t="s">
        <v>11</v>
      </c>
      <c r="AG103" s="117"/>
      <c r="AH103" s="116" t="s">
        <v>12</v>
      </c>
      <c r="AI103" s="117"/>
      <c r="AJ103" s="116" t="s">
        <v>290</v>
      </c>
      <c r="AK103" s="117"/>
      <c r="AL103" s="116" t="s">
        <v>299</v>
      </c>
      <c r="AM103" s="117"/>
      <c r="AN103" s="116" t="s">
        <v>13</v>
      </c>
      <c r="AO103" s="117"/>
      <c r="AP103" s="116" t="s">
        <v>291</v>
      </c>
      <c r="AQ103" s="117"/>
      <c r="AR103" s="116" t="s">
        <v>292</v>
      </c>
      <c r="AS103" s="117"/>
      <c r="AT103" s="116" t="s">
        <v>307</v>
      </c>
      <c r="AU103" s="117"/>
      <c r="AV103" s="116" t="s">
        <v>293</v>
      </c>
      <c r="AW103" s="117"/>
      <c r="AX103" s="116" t="s">
        <v>14</v>
      </c>
      <c r="AY103" s="117"/>
      <c r="AZ103" s="116" t="s">
        <v>15</v>
      </c>
      <c r="BA103" s="117"/>
      <c r="BB103" s="116" t="s">
        <v>16</v>
      </c>
      <c r="BC103" s="117"/>
      <c r="BD103" s="116" t="s">
        <v>17</v>
      </c>
      <c r="BE103" s="117"/>
      <c r="BF103" s="116" t="s">
        <v>18</v>
      </c>
      <c r="BG103" s="117"/>
      <c r="BH103" s="116" t="s">
        <v>294</v>
      </c>
      <c r="BI103" s="117"/>
      <c r="BJ103" s="116" t="s">
        <v>295</v>
      </c>
      <c r="BK103" s="117"/>
      <c r="BL103" s="116" t="s">
        <v>19</v>
      </c>
      <c r="BM103" s="117"/>
      <c r="BN103" s="116" t="s">
        <v>20</v>
      </c>
      <c r="BO103" s="117"/>
      <c r="BP103" s="118" t="s">
        <v>21</v>
      </c>
      <c r="BQ103" s="119"/>
    </row>
    <row r="104" spans="1:69" ht="30" x14ac:dyDescent="0.25">
      <c r="A104" s="3"/>
      <c r="B104" s="67" t="s">
        <v>296</v>
      </c>
      <c r="C104" s="68" t="s">
        <v>297</v>
      </c>
      <c r="D104" s="67" t="s">
        <v>296</v>
      </c>
      <c r="E104" s="68" t="s">
        <v>297</v>
      </c>
      <c r="F104" s="67" t="s">
        <v>296</v>
      </c>
      <c r="G104" s="68" t="s">
        <v>297</v>
      </c>
      <c r="H104" s="67" t="s">
        <v>296</v>
      </c>
      <c r="I104" s="68" t="s">
        <v>297</v>
      </c>
      <c r="J104" s="67" t="s">
        <v>296</v>
      </c>
      <c r="K104" s="68" t="s">
        <v>297</v>
      </c>
      <c r="L104" s="67" t="s">
        <v>296</v>
      </c>
      <c r="M104" s="68" t="s">
        <v>297</v>
      </c>
      <c r="N104" s="67" t="s">
        <v>296</v>
      </c>
      <c r="O104" s="68" t="s">
        <v>297</v>
      </c>
      <c r="P104" s="67" t="s">
        <v>296</v>
      </c>
      <c r="Q104" s="68" t="s">
        <v>297</v>
      </c>
      <c r="R104" s="67" t="s">
        <v>296</v>
      </c>
      <c r="S104" s="68" t="s">
        <v>297</v>
      </c>
      <c r="T104" s="67" t="s">
        <v>296</v>
      </c>
      <c r="U104" s="68" t="s">
        <v>297</v>
      </c>
      <c r="V104" s="67" t="s">
        <v>296</v>
      </c>
      <c r="W104" s="68" t="s">
        <v>297</v>
      </c>
      <c r="X104" s="67" t="s">
        <v>296</v>
      </c>
      <c r="Y104" s="68" t="s">
        <v>297</v>
      </c>
      <c r="Z104" s="67" t="s">
        <v>296</v>
      </c>
      <c r="AA104" s="68" t="s">
        <v>297</v>
      </c>
      <c r="AB104" s="67" t="s">
        <v>296</v>
      </c>
      <c r="AC104" s="68" t="s">
        <v>297</v>
      </c>
      <c r="AD104" s="67" t="s">
        <v>296</v>
      </c>
      <c r="AE104" s="68" t="s">
        <v>297</v>
      </c>
      <c r="AF104" s="67" t="s">
        <v>296</v>
      </c>
      <c r="AG104" s="68" t="s">
        <v>297</v>
      </c>
      <c r="AH104" s="67" t="s">
        <v>296</v>
      </c>
      <c r="AI104" s="68" t="s">
        <v>297</v>
      </c>
      <c r="AJ104" s="67" t="s">
        <v>296</v>
      </c>
      <c r="AK104" s="68" t="s">
        <v>297</v>
      </c>
      <c r="AL104" s="67" t="s">
        <v>296</v>
      </c>
      <c r="AM104" s="68" t="s">
        <v>297</v>
      </c>
      <c r="AN104" s="67" t="s">
        <v>296</v>
      </c>
      <c r="AO104" s="68" t="s">
        <v>297</v>
      </c>
      <c r="AP104" s="67" t="s">
        <v>296</v>
      </c>
      <c r="AQ104" s="68" t="s">
        <v>297</v>
      </c>
      <c r="AR104" s="67" t="s">
        <v>296</v>
      </c>
      <c r="AS104" s="68" t="s">
        <v>297</v>
      </c>
      <c r="AT104" s="67" t="s">
        <v>296</v>
      </c>
      <c r="AU104" s="68" t="s">
        <v>297</v>
      </c>
      <c r="AV104" s="67" t="s">
        <v>296</v>
      </c>
      <c r="AW104" s="68" t="s">
        <v>297</v>
      </c>
      <c r="AX104" s="67" t="s">
        <v>296</v>
      </c>
      <c r="AY104" s="68" t="s">
        <v>297</v>
      </c>
      <c r="AZ104" s="67" t="s">
        <v>296</v>
      </c>
      <c r="BA104" s="68" t="s">
        <v>297</v>
      </c>
      <c r="BB104" s="67" t="s">
        <v>296</v>
      </c>
      <c r="BC104" s="68" t="s">
        <v>297</v>
      </c>
      <c r="BD104" s="67" t="s">
        <v>296</v>
      </c>
      <c r="BE104" s="68" t="s">
        <v>297</v>
      </c>
      <c r="BF104" s="67" t="s">
        <v>296</v>
      </c>
      <c r="BG104" s="68" t="s">
        <v>297</v>
      </c>
      <c r="BH104" s="67" t="s">
        <v>296</v>
      </c>
      <c r="BI104" s="68" t="s">
        <v>297</v>
      </c>
      <c r="BJ104" s="67" t="s">
        <v>296</v>
      </c>
      <c r="BK104" s="68" t="s">
        <v>297</v>
      </c>
      <c r="BL104" s="67" t="s">
        <v>296</v>
      </c>
      <c r="BM104" s="68" t="s">
        <v>297</v>
      </c>
      <c r="BN104" s="67" t="s">
        <v>296</v>
      </c>
      <c r="BO104" s="68" t="s">
        <v>297</v>
      </c>
      <c r="BP104" s="84" t="s">
        <v>280</v>
      </c>
      <c r="BQ104" s="85" t="s">
        <v>281</v>
      </c>
    </row>
    <row r="105" spans="1:69" x14ac:dyDescent="0.25">
      <c r="A105" s="26" t="s">
        <v>228</v>
      </c>
      <c r="B105" s="10">
        <v>322931</v>
      </c>
      <c r="C105" s="10">
        <v>478724</v>
      </c>
      <c r="D105" s="10">
        <v>943630</v>
      </c>
      <c r="E105" s="10">
        <v>1305954</v>
      </c>
      <c r="F105" s="10">
        <v>26236148</v>
      </c>
      <c r="G105" s="10">
        <v>55029468</v>
      </c>
      <c r="H105" s="10">
        <v>15723927</v>
      </c>
      <c r="I105" s="10">
        <v>30311794</v>
      </c>
      <c r="J105" s="10">
        <v>2694106</v>
      </c>
      <c r="K105" s="10">
        <v>3610656</v>
      </c>
      <c r="L105" s="10">
        <v>3818111</v>
      </c>
      <c r="M105" s="10">
        <v>5664476</v>
      </c>
      <c r="N105" s="10">
        <v>2073162.29</v>
      </c>
      <c r="O105" s="10">
        <v>4100305.27</v>
      </c>
      <c r="P105" s="10">
        <v>248309</v>
      </c>
      <c r="Q105" s="10">
        <v>380311</v>
      </c>
      <c r="R105" s="10">
        <v>3503758</v>
      </c>
      <c r="S105" s="10">
        <v>6419163</v>
      </c>
      <c r="T105" s="10">
        <v>997483</v>
      </c>
      <c r="U105" s="10">
        <v>1352690</v>
      </c>
      <c r="V105" s="10">
        <v>11719279</v>
      </c>
      <c r="W105" s="10">
        <v>23453349</v>
      </c>
      <c r="X105" s="10">
        <v>3635224</v>
      </c>
      <c r="Y105" s="10">
        <v>6166000</v>
      </c>
      <c r="Z105" s="10">
        <v>15465308</v>
      </c>
      <c r="AA105" s="10">
        <v>40175530</v>
      </c>
      <c r="AB105" s="10">
        <v>15574881</v>
      </c>
      <c r="AC105" s="10">
        <v>21531174</v>
      </c>
      <c r="AD105" s="10">
        <v>477046</v>
      </c>
      <c r="AE105" s="10">
        <v>612263</v>
      </c>
      <c r="AF105" s="10">
        <v>1655838</v>
      </c>
      <c r="AG105" s="10">
        <v>2559720</v>
      </c>
      <c r="AH105" s="10">
        <v>652202</v>
      </c>
      <c r="AI105" s="10">
        <v>934357</v>
      </c>
      <c r="AJ105" s="10">
        <v>955869</v>
      </c>
      <c r="AK105" s="10">
        <v>1344615</v>
      </c>
      <c r="AL105" s="10">
        <v>1474798</v>
      </c>
      <c r="AM105" s="10">
        <v>1992799</v>
      </c>
      <c r="AN105" s="10">
        <v>21771659.877000004</v>
      </c>
      <c r="AO105" s="10">
        <v>38789928.442999996</v>
      </c>
      <c r="AP105" s="10">
        <v>88189</v>
      </c>
      <c r="AQ105" s="10">
        <v>141525</v>
      </c>
      <c r="AR105" s="10">
        <v>108093</v>
      </c>
      <c r="AS105" s="10">
        <v>127730</v>
      </c>
      <c r="AT105" s="10">
        <v>8474020</v>
      </c>
      <c r="AU105" s="10">
        <v>13730161</v>
      </c>
      <c r="AV105" s="10">
        <v>2438194</v>
      </c>
      <c r="AW105" s="10">
        <v>3476013</v>
      </c>
      <c r="AX105" s="10">
        <v>5247348</v>
      </c>
      <c r="AY105" s="10">
        <v>7086927</v>
      </c>
      <c r="AZ105" s="10">
        <v>6810843</v>
      </c>
      <c r="BA105" s="10">
        <v>14743167</v>
      </c>
      <c r="BB105" s="10">
        <v>1811724</v>
      </c>
      <c r="BC105" s="10">
        <v>2871607</v>
      </c>
      <c r="BD105" s="10">
        <v>10160568</v>
      </c>
      <c r="BE105" s="10">
        <v>16550047</v>
      </c>
      <c r="BF105" s="10">
        <v>6912049</v>
      </c>
      <c r="BG105" s="10">
        <v>10810053</v>
      </c>
      <c r="BH105" s="10">
        <v>45216359</v>
      </c>
      <c r="BI105" s="10">
        <v>77695621</v>
      </c>
      <c r="BJ105" s="10">
        <v>27584794</v>
      </c>
      <c r="BK105" s="10">
        <v>43768494</v>
      </c>
      <c r="BL105" s="108">
        <v>38447983</v>
      </c>
      <c r="BM105" s="108">
        <v>53459041</v>
      </c>
      <c r="BN105" s="10">
        <v>2898648</v>
      </c>
      <c r="BO105" s="10">
        <v>3851977</v>
      </c>
      <c r="BP105" s="88">
        <f t="shared" ref="BP105:BP110" si="37">SUM(B105+D105+F105+H105+J105+L105+N105+P105+R105+T105+V105+X105+Z105+AB105+AD105+AF105+AH105+AJ105+AL105+AN105+AP105+AR105+AT105+AV105+AX105+AZ105+BB105+BD105+BF105+BH105+BJ105+BL105+BN105)</f>
        <v>286142482.167</v>
      </c>
      <c r="BQ105" s="88">
        <f t="shared" ref="BQ105:BQ110" si="38">SUM(C105+E105+G105+I105+K105+M105+O105+Q105+S105+U105+W105+Y105+AA105+AC105+AE105+AG105+AI105+AK105+AM105+AO105+AQ105+AS105+AU105+AW105+AY105+BA105+BC105+BE105+BG105+BI105+BK105+BM105+BO105)</f>
        <v>494525639.71299994</v>
      </c>
    </row>
    <row r="106" spans="1:69" x14ac:dyDescent="0.25">
      <c r="A106" s="26" t="s">
        <v>279</v>
      </c>
      <c r="B106" s="10">
        <v>884555</v>
      </c>
      <c r="C106" s="10">
        <v>884555</v>
      </c>
      <c r="D106" s="10">
        <v>1372952</v>
      </c>
      <c r="E106" s="10">
        <v>1372952</v>
      </c>
      <c r="F106" s="10">
        <v>17490112</v>
      </c>
      <c r="G106" s="10">
        <v>40944257</v>
      </c>
      <c r="H106" s="10">
        <v>6403785</v>
      </c>
      <c r="I106" s="10">
        <v>96896806</v>
      </c>
      <c r="J106" s="10">
        <v>677972</v>
      </c>
      <c r="K106" s="10">
        <v>26556167</v>
      </c>
      <c r="L106" s="10">
        <v>60146792</v>
      </c>
      <c r="M106" s="10">
        <v>60146792</v>
      </c>
      <c r="N106" s="10">
        <v>2017869.31</v>
      </c>
      <c r="O106" s="10">
        <v>71016413.090000004</v>
      </c>
      <c r="P106" s="10">
        <v>479362</v>
      </c>
      <c r="Q106" s="10">
        <v>479362</v>
      </c>
      <c r="R106" s="10">
        <v>25049201</v>
      </c>
      <c r="S106" s="10">
        <v>25049201</v>
      </c>
      <c r="T106" s="10">
        <v>13979271</v>
      </c>
      <c r="U106" s="10">
        <v>13979271</v>
      </c>
      <c r="V106" s="10">
        <v>94558993</v>
      </c>
      <c r="W106" s="10">
        <v>94558993</v>
      </c>
      <c r="X106" s="10">
        <v>4421549</v>
      </c>
      <c r="Y106" s="10">
        <v>4421549</v>
      </c>
      <c r="Z106" s="10">
        <v>186194977</v>
      </c>
      <c r="AA106" s="10">
        <v>186194977</v>
      </c>
      <c r="AB106" s="10">
        <v>2874985</v>
      </c>
      <c r="AC106" s="10">
        <v>60511207</v>
      </c>
      <c r="AD106" s="10">
        <v>3047687</v>
      </c>
      <c r="AE106" s="10">
        <v>3047687</v>
      </c>
      <c r="AF106" s="10">
        <v>11734359</v>
      </c>
      <c r="AG106" s="10">
        <v>11734359</v>
      </c>
      <c r="AH106" s="10">
        <v>21403800</v>
      </c>
      <c r="AI106" s="10">
        <v>21403800</v>
      </c>
      <c r="AJ106" s="10">
        <v>929971</v>
      </c>
      <c r="AK106" s="10">
        <v>929971</v>
      </c>
      <c r="AL106" s="10">
        <v>2589718</v>
      </c>
      <c r="AM106" s="10">
        <v>2589718</v>
      </c>
      <c r="AN106" s="10">
        <v>6968048.3490679199</v>
      </c>
      <c r="AO106" s="10">
        <v>190335698.37232405</v>
      </c>
      <c r="AP106" s="10">
        <v>1079608</v>
      </c>
      <c r="AQ106" s="10">
        <v>1079608</v>
      </c>
      <c r="AR106" s="10">
        <v>245139</v>
      </c>
      <c r="AS106" s="10">
        <v>2746872</v>
      </c>
      <c r="AT106" s="10">
        <v>63700051</v>
      </c>
      <c r="AU106" s="10">
        <v>63700051</v>
      </c>
      <c r="AV106" s="10">
        <v>4432700</v>
      </c>
      <c r="AW106" s="10">
        <v>4432700</v>
      </c>
      <c r="AX106" s="10">
        <v>-1382033</v>
      </c>
      <c r="AY106" s="10">
        <v>43923282</v>
      </c>
      <c r="AZ106" s="10">
        <v>35279473</v>
      </c>
      <c r="BA106" s="10">
        <v>35279473</v>
      </c>
      <c r="BB106" s="10">
        <v>68712034</v>
      </c>
      <c r="BC106" s="10">
        <v>68712034</v>
      </c>
      <c r="BD106" s="10">
        <v>4083415</v>
      </c>
      <c r="BE106" s="10">
        <v>10327162</v>
      </c>
      <c r="BF106" s="10">
        <v>62962445</v>
      </c>
      <c r="BG106" s="10">
        <v>62962445</v>
      </c>
      <c r="BH106" s="10">
        <v>359135363</v>
      </c>
      <c r="BI106" s="10">
        <v>359135363</v>
      </c>
      <c r="BJ106" s="10">
        <v>-2232137</v>
      </c>
      <c r="BK106" s="10">
        <v>193335316</v>
      </c>
      <c r="BL106" s="108">
        <v>279855906</v>
      </c>
      <c r="BM106" s="108">
        <v>279855906</v>
      </c>
      <c r="BN106" s="10">
        <v>1351909</v>
      </c>
      <c r="BO106" s="10">
        <v>15136458</v>
      </c>
      <c r="BP106" s="88">
        <f t="shared" si="37"/>
        <v>1340449831.6590679</v>
      </c>
      <c r="BQ106" s="88">
        <f t="shared" si="38"/>
        <v>2053680405.4623241</v>
      </c>
    </row>
    <row r="107" spans="1:69" x14ac:dyDescent="0.25">
      <c r="A107" s="26" t="s">
        <v>278</v>
      </c>
      <c r="B107" s="10">
        <v>833078</v>
      </c>
      <c r="C107" s="10">
        <v>664304</v>
      </c>
      <c r="D107" s="10">
        <v>1211439</v>
      </c>
      <c r="E107" s="10">
        <v>799266</v>
      </c>
      <c r="F107" s="10"/>
      <c r="G107" s="10">
        <v>30548700</v>
      </c>
      <c r="H107" s="10"/>
      <c r="I107" s="10">
        <v>83580981</v>
      </c>
      <c r="J107" s="10"/>
      <c r="K107" s="10">
        <v>23851111</v>
      </c>
      <c r="L107" s="10">
        <v>57323514</v>
      </c>
      <c r="M107" s="10">
        <v>53479530</v>
      </c>
      <c r="N107" s="10"/>
      <c r="O107" s="10">
        <v>66741573.270000003</v>
      </c>
      <c r="P107" s="10">
        <v>288967</v>
      </c>
      <c r="Q107" s="10">
        <v>822666</v>
      </c>
      <c r="R107" s="10">
        <v>23675921</v>
      </c>
      <c r="S107" s="10">
        <v>21831254</v>
      </c>
      <c r="T107" s="10">
        <v>11781992</v>
      </c>
      <c r="U107" s="10">
        <v>9567801</v>
      </c>
      <c r="V107" s="10">
        <v>-84325533</v>
      </c>
      <c r="W107" s="10">
        <v>-83728631</v>
      </c>
      <c r="X107" s="10">
        <v>3156860</v>
      </c>
      <c r="Y107" s="10">
        <v>2873317</v>
      </c>
      <c r="Z107" s="10">
        <v>180665360</v>
      </c>
      <c r="AA107" s="10">
        <v>180073743</v>
      </c>
      <c r="AB107" s="10"/>
      <c r="AC107" s="10">
        <v>53183426</v>
      </c>
      <c r="AD107" s="10">
        <v>2744384</v>
      </c>
      <c r="AE107" s="10">
        <v>2388665</v>
      </c>
      <c r="AF107" s="10">
        <v>11149207</v>
      </c>
      <c r="AG107" s="10">
        <v>10562318</v>
      </c>
      <c r="AH107" s="10">
        <v>-19954346</v>
      </c>
      <c r="AI107" s="10">
        <v>-17972535</v>
      </c>
      <c r="AJ107" s="10">
        <v>730942</v>
      </c>
      <c r="AK107" s="10">
        <v>675384</v>
      </c>
      <c r="AL107" s="10">
        <v>2088219</v>
      </c>
      <c r="AM107" s="10">
        <v>1252365</v>
      </c>
      <c r="AN107" s="10"/>
      <c r="AO107" s="10">
        <v>178732748.36899999</v>
      </c>
      <c r="AP107" s="10">
        <v>-966476</v>
      </c>
      <c r="AQ107" s="10">
        <v>-854041</v>
      </c>
      <c r="AR107" s="10"/>
      <c r="AS107" s="10">
        <v>2195367</v>
      </c>
      <c r="AT107" s="10">
        <v>60388359</v>
      </c>
      <c r="AU107" s="10">
        <v>56841198</v>
      </c>
      <c r="AV107" s="10">
        <v>3525046</v>
      </c>
      <c r="AW107" s="10">
        <v>2625520</v>
      </c>
      <c r="AX107" s="10"/>
      <c r="AY107" s="10">
        <v>-42341818</v>
      </c>
      <c r="AZ107" s="10">
        <v>32938205</v>
      </c>
      <c r="BA107" s="10">
        <v>29693796</v>
      </c>
      <c r="BB107" s="10">
        <v>65501800</v>
      </c>
      <c r="BC107" s="10">
        <v>62731539</v>
      </c>
      <c r="BD107" s="10"/>
      <c r="BE107" s="10">
        <v>5613924</v>
      </c>
      <c r="BF107" s="10">
        <v>58993900</v>
      </c>
      <c r="BG107" s="10">
        <v>53564450</v>
      </c>
      <c r="BH107" s="10">
        <v>340226864</v>
      </c>
      <c r="BI107" s="10">
        <v>329819744</v>
      </c>
      <c r="BJ107" s="10">
        <v>0</v>
      </c>
      <c r="BK107" s="10">
        <v>190513482</v>
      </c>
      <c r="BL107" s="108">
        <v>280203758</v>
      </c>
      <c r="BM107" s="108">
        <v>265684703</v>
      </c>
      <c r="BN107" s="10"/>
      <c r="BO107" s="10">
        <v>12084521</v>
      </c>
      <c r="BP107" s="88">
        <f t="shared" si="37"/>
        <v>1032181460</v>
      </c>
      <c r="BQ107" s="88">
        <f t="shared" si="38"/>
        <v>1588100371.6389999</v>
      </c>
    </row>
    <row r="108" spans="1:69" x14ac:dyDescent="0.25">
      <c r="A108" s="26" t="s">
        <v>284</v>
      </c>
      <c r="B108" s="10"/>
      <c r="C108" s="10"/>
      <c r="D108" s="10"/>
      <c r="E108" s="10"/>
      <c r="F108" s="10"/>
      <c r="G108" s="10"/>
      <c r="H108" s="10">
        <v>22127712</v>
      </c>
      <c r="I108" s="10">
        <v>43627619</v>
      </c>
      <c r="J108" s="10"/>
      <c r="K108" s="10"/>
      <c r="L108" s="10">
        <v>6641389</v>
      </c>
      <c r="M108" s="10">
        <v>12331738</v>
      </c>
      <c r="N108" s="10"/>
      <c r="O108" s="10"/>
      <c r="P108" s="10">
        <v>438704</v>
      </c>
      <c r="Q108" s="10">
        <v>37007</v>
      </c>
      <c r="R108" s="10"/>
      <c r="S108" s="10"/>
      <c r="T108" s="10"/>
      <c r="U108" s="10"/>
      <c r="V108" s="10">
        <v>21952740</v>
      </c>
      <c r="W108" s="10">
        <v>34283711</v>
      </c>
      <c r="X108" s="10">
        <v>4899913</v>
      </c>
      <c r="Y108" s="10">
        <v>7714232</v>
      </c>
      <c r="Z108" s="10">
        <v>20994926</v>
      </c>
      <c r="AA108" s="10">
        <v>46296764</v>
      </c>
      <c r="AB108" s="10">
        <v>18449866</v>
      </c>
      <c r="AC108" s="10">
        <v>28858955</v>
      </c>
      <c r="AD108" s="10">
        <v>780349</v>
      </c>
      <c r="AE108" s="10">
        <v>1271285</v>
      </c>
      <c r="AF108" s="10">
        <v>2240990</v>
      </c>
      <c r="AG108" s="10">
        <v>3731761</v>
      </c>
      <c r="AH108" s="10">
        <v>2101656</v>
      </c>
      <c r="AI108" s="10">
        <v>4365622</v>
      </c>
      <c r="AJ108" s="10">
        <v>1154898</v>
      </c>
      <c r="AK108" s="10">
        <v>1599202</v>
      </c>
      <c r="AL108" s="10">
        <v>1976297</v>
      </c>
      <c r="AM108" s="10">
        <v>3330153</v>
      </c>
      <c r="AN108" s="10"/>
      <c r="AO108" s="10"/>
      <c r="AP108" s="10">
        <v>201321</v>
      </c>
      <c r="AQ108" s="10">
        <v>367092</v>
      </c>
      <c r="AR108" s="10">
        <v>353232</v>
      </c>
      <c r="AS108" s="10">
        <v>679235</v>
      </c>
      <c r="AT108" s="10"/>
      <c r="AU108" s="10"/>
      <c r="AV108" s="10">
        <v>3345848</v>
      </c>
      <c r="AW108" s="10">
        <v>5283193</v>
      </c>
      <c r="AX108" s="10">
        <v>3865315</v>
      </c>
      <c r="AY108" s="10">
        <v>8668392</v>
      </c>
      <c r="AZ108" s="10"/>
      <c r="BA108" s="10"/>
      <c r="BB108" s="10"/>
      <c r="BC108" s="10"/>
      <c r="BD108" s="10">
        <v>14243983</v>
      </c>
      <c r="BE108" s="10">
        <v>21263285</v>
      </c>
      <c r="BF108" s="10">
        <v>10880594</v>
      </c>
      <c r="BG108" s="10">
        <v>20208048</v>
      </c>
      <c r="BH108" s="10">
        <v>64124857</v>
      </c>
      <c r="BI108" s="10">
        <v>107011240</v>
      </c>
      <c r="BJ108" s="10">
        <v>25352657</v>
      </c>
      <c r="BK108" s="10">
        <v>46590328</v>
      </c>
      <c r="BL108" s="108">
        <v>38100131</v>
      </c>
      <c r="BM108" s="108">
        <v>67630244</v>
      </c>
      <c r="BN108" s="10">
        <v>4250557</v>
      </c>
      <c r="BO108" s="10">
        <v>6903914</v>
      </c>
      <c r="BP108" s="88">
        <f t="shared" si="37"/>
        <v>268477935</v>
      </c>
      <c r="BQ108" s="88">
        <f t="shared" si="38"/>
        <v>472053020</v>
      </c>
    </row>
    <row r="109" spans="1:69" x14ac:dyDescent="0.25">
      <c r="A109" s="26" t="s">
        <v>276</v>
      </c>
      <c r="B109" s="10"/>
      <c r="C109" s="10"/>
      <c r="D109" s="10"/>
      <c r="E109" s="10"/>
      <c r="F109" s="10"/>
      <c r="G109" s="10"/>
      <c r="H109" s="10">
        <v>30129</v>
      </c>
      <c r="I109" s="10">
        <v>48872</v>
      </c>
      <c r="J109" s="10">
        <v>59083</v>
      </c>
      <c r="K109" s="10">
        <v>68631</v>
      </c>
      <c r="L109" s="10">
        <v>-383</v>
      </c>
      <c r="M109" s="10">
        <v>75</v>
      </c>
      <c r="N109" s="10"/>
      <c r="O109" s="10"/>
      <c r="P109" s="10">
        <v>4483</v>
      </c>
      <c r="Q109" s="10">
        <v>24569</v>
      </c>
      <c r="R109" s="10">
        <v>61709</v>
      </c>
      <c r="S109" s="10">
        <v>154675</v>
      </c>
      <c r="T109" s="10">
        <v>360885</v>
      </c>
      <c r="U109" s="10">
        <v>707450</v>
      </c>
      <c r="V109" s="10">
        <v>82210</v>
      </c>
      <c r="W109" s="10">
        <v>102239</v>
      </c>
      <c r="X109" s="10"/>
      <c r="Y109" s="10"/>
      <c r="Z109" s="10"/>
      <c r="AA109" s="10"/>
      <c r="AB109" s="10">
        <v>50286</v>
      </c>
      <c r="AC109" s="10">
        <v>115499</v>
      </c>
      <c r="AD109" s="10">
        <v>-23</v>
      </c>
      <c r="AE109" s="10">
        <v>19</v>
      </c>
      <c r="AF109" s="10">
        <v>16</v>
      </c>
      <c r="AG109" s="10">
        <v>40</v>
      </c>
      <c r="AH109" s="10"/>
      <c r="AI109" s="10"/>
      <c r="AJ109" s="10"/>
      <c r="AK109" s="10"/>
      <c r="AL109" s="10"/>
      <c r="AM109" s="10"/>
      <c r="AN109" s="10">
        <v>164958.29000000004</v>
      </c>
      <c r="AO109" s="10">
        <v>851659.79399999999</v>
      </c>
      <c r="AP109" s="10"/>
      <c r="AQ109" s="10"/>
      <c r="AR109" s="10">
        <v>3113</v>
      </c>
      <c r="AS109" s="10">
        <v>3216</v>
      </c>
      <c r="AT109" s="10">
        <v>76938</v>
      </c>
      <c r="AU109" s="10">
        <v>121466</v>
      </c>
      <c r="AV109" s="10">
        <v>41401</v>
      </c>
      <c r="AW109" s="10">
        <v>70519</v>
      </c>
      <c r="AX109" s="10">
        <v>36145</v>
      </c>
      <c r="AY109" s="10">
        <v>40909</v>
      </c>
      <c r="AZ109" s="10">
        <v>689732</v>
      </c>
      <c r="BA109" s="10">
        <v>689799</v>
      </c>
      <c r="BB109" s="10">
        <v>15</v>
      </c>
      <c r="BC109" s="10">
        <v>101</v>
      </c>
      <c r="BD109" s="10"/>
      <c r="BE109" s="10"/>
      <c r="BF109" s="10">
        <v>264727</v>
      </c>
      <c r="BG109" s="10">
        <v>537347</v>
      </c>
      <c r="BH109" s="10"/>
      <c r="BI109" s="10"/>
      <c r="BJ109" s="10">
        <v>1283621</v>
      </c>
      <c r="BK109" s="10">
        <v>1528595</v>
      </c>
      <c r="BL109" s="108">
        <v>106853</v>
      </c>
      <c r="BM109" s="108">
        <v>121519</v>
      </c>
      <c r="BN109" s="10">
        <v>8</v>
      </c>
      <c r="BO109" s="10">
        <v>19</v>
      </c>
      <c r="BP109" s="88">
        <f t="shared" si="37"/>
        <v>3315906.29</v>
      </c>
      <c r="BQ109" s="88">
        <f t="shared" si="38"/>
        <v>5187218.7939999998</v>
      </c>
    </row>
    <row r="110" spans="1:69" x14ac:dyDescent="0.25">
      <c r="A110" s="26" t="s">
        <v>277</v>
      </c>
      <c r="B110" s="10">
        <v>160350</v>
      </c>
      <c r="C110" s="10">
        <v>243809</v>
      </c>
      <c r="D110" s="10">
        <v>206618</v>
      </c>
      <c r="E110" s="10">
        <v>253377</v>
      </c>
      <c r="F110" s="10"/>
      <c r="G110" s="10"/>
      <c r="H110" s="10">
        <v>7415436</v>
      </c>
      <c r="I110" s="10">
        <v>16556775</v>
      </c>
      <c r="J110" s="10">
        <v>395970</v>
      </c>
      <c r="K110" s="10">
        <v>542586</v>
      </c>
      <c r="L110" s="10">
        <v>930162</v>
      </c>
      <c r="M110" s="10">
        <v>1521986</v>
      </c>
      <c r="N110" s="10">
        <v>574865.36</v>
      </c>
      <c r="O110" s="10">
        <v>1120598.6299999999</v>
      </c>
      <c r="P110" s="10">
        <v>60904</v>
      </c>
      <c r="Q110" s="10">
        <v>-701282</v>
      </c>
      <c r="R110" s="10">
        <v>1376697</v>
      </c>
      <c r="S110" s="10">
        <v>3045982</v>
      </c>
      <c r="T110" s="10">
        <v>373835</v>
      </c>
      <c r="U110" s="10">
        <v>628452</v>
      </c>
      <c r="V110" s="10"/>
      <c r="W110" s="10"/>
      <c r="X110" s="10">
        <v>744455</v>
      </c>
      <c r="Y110" s="10">
        <v>1216070</v>
      </c>
      <c r="Z110" s="10"/>
      <c r="AA110" s="10"/>
      <c r="AB110" s="10">
        <v>7902918</v>
      </c>
      <c r="AC110" s="10">
        <v>10192843</v>
      </c>
      <c r="AD110" s="10">
        <v>163432</v>
      </c>
      <c r="AE110" s="10">
        <v>178491</v>
      </c>
      <c r="AF110" s="10">
        <v>169996</v>
      </c>
      <c r="AG110" s="10">
        <v>301543</v>
      </c>
      <c r="AH110" s="10"/>
      <c r="AI110" s="10"/>
      <c r="AJ110" s="10">
        <v>47124</v>
      </c>
      <c r="AK110" s="10">
        <v>67268</v>
      </c>
      <c r="AL110" s="10">
        <v>437221</v>
      </c>
      <c r="AM110" s="10">
        <v>691231</v>
      </c>
      <c r="AN110" s="10">
        <v>5105184.9407285005</v>
      </c>
      <c r="AO110" s="10">
        <v>11587861.129382499</v>
      </c>
      <c r="AP110" s="10"/>
      <c r="AQ110" s="10"/>
      <c r="AR110" s="10">
        <v>7796</v>
      </c>
      <c r="AS110" s="10">
        <v>10066</v>
      </c>
      <c r="AT110" s="10">
        <v>3560405</v>
      </c>
      <c r="AU110" s="10">
        <v>6396774</v>
      </c>
      <c r="AV110" s="10">
        <v>638635</v>
      </c>
      <c r="AW110" s="10">
        <v>874921</v>
      </c>
      <c r="AX110" s="10">
        <v>-2244252</v>
      </c>
      <c r="AY110" s="10">
        <v>-2972454</v>
      </c>
      <c r="AZ110" s="10">
        <v>2719886</v>
      </c>
      <c r="BA110" s="10">
        <v>7350793</v>
      </c>
      <c r="BB110" s="10">
        <v>245008</v>
      </c>
      <c r="BC110" s="10">
        <v>363649</v>
      </c>
      <c r="BD110" s="10">
        <v>3336602</v>
      </c>
      <c r="BE110" s="10">
        <v>4920284</v>
      </c>
      <c r="BF110" s="10">
        <v>2651729</v>
      </c>
      <c r="BG110" s="10">
        <v>4630710</v>
      </c>
      <c r="BH110" s="10"/>
      <c r="BI110" s="10"/>
      <c r="BJ110" s="10">
        <v>-901161</v>
      </c>
      <c r="BK110" s="10">
        <v>4557094</v>
      </c>
      <c r="BL110" s="108">
        <v>6403322</v>
      </c>
      <c r="BM110" s="108">
        <v>15308840</v>
      </c>
      <c r="BN110" s="10">
        <v>1109305</v>
      </c>
      <c r="BO110" s="10">
        <v>1365992</v>
      </c>
      <c r="BP110" s="88">
        <f t="shared" si="37"/>
        <v>43592443.3007285</v>
      </c>
      <c r="BQ110" s="88">
        <f t="shared" si="38"/>
        <v>90254259.759382486</v>
      </c>
    </row>
    <row r="111" spans="1:69" x14ac:dyDescent="0.25">
      <c r="A111" s="26" t="s">
        <v>273</v>
      </c>
      <c r="B111" s="10">
        <v>214058</v>
      </c>
      <c r="C111" s="10">
        <v>455166</v>
      </c>
      <c r="D111" s="10">
        <v>898525</v>
      </c>
      <c r="E111" s="10">
        <v>1626263</v>
      </c>
      <c r="F111" s="10">
        <v>24355422</v>
      </c>
      <c r="G111" s="10">
        <v>24645237</v>
      </c>
      <c r="H111" s="10">
        <v>14742405</v>
      </c>
      <c r="I111" s="10">
        <v>27119716</v>
      </c>
      <c r="J111" s="10">
        <v>3035190</v>
      </c>
      <c r="K111" s="10">
        <v>5841757</v>
      </c>
      <c r="L111" s="10">
        <v>5710844</v>
      </c>
      <c r="M111" s="10">
        <v>10809827</v>
      </c>
      <c r="N111" s="10">
        <v>3437422.71</v>
      </c>
      <c r="O111" s="10">
        <v>7011966.5599999996</v>
      </c>
      <c r="P111" s="10">
        <v>382283</v>
      </c>
      <c r="Q111" s="10">
        <v>762858</v>
      </c>
      <c r="R111" s="10">
        <v>3562050</v>
      </c>
      <c r="S111" s="10">
        <v>6745802</v>
      </c>
      <c r="T111" s="10">
        <v>3181812</v>
      </c>
      <c r="U111" s="10">
        <v>5843158</v>
      </c>
      <c r="V111" s="10">
        <v>9665286</v>
      </c>
      <c r="W111" s="10">
        <v>17374422</v>
      </c>
      <c r="X111" s="10">
        <v>4155458</v>
      </c>
      <c r="Y111" s="10">
        <v>6498162</v>
      </c>
      <c r="Z111" s="10">
        <v>16537712</v>
      </c>
      <c r="AA111" s="10">
        <v>32754305</v>
      </c>
      <c r="AB111" s="10">
        <v>10597234</v>
      </c>
      <c r="AC111" s="10">
        <v>18781611</v>
      </c>
      <c r="AD111" s="10">
        <v>616894</v>
      </c>
      <c r="AE111" s="10">
        <v>1092813</v>
      </c>
      <c r="AF111" s="10">
        <v>2098911</v>
      </c>
      <c r="AG111" s="10">
        <v>3453838</v>
      </c>
      <c r="AH111" s="10">
        <v>1507282</v>
      </c>
      <c r="AI111" s="10">
        <v>3079476</v>
      </c>
      <c r="AJ111" s="10">
        <v>1107773</v>
      </c>
      <c r="AK111" s="10">
        <v>1531934</v>
      </c>
      <c r="AL111" s="10">
        <v>1539077</v>
      </c>
      <c r="AM111" s="10">
        <v>2638923</v>
      </c>
      <c r="AN111" s="10">
        <v>23799481.577339396</v>
      </c>
      <c r="AO111" s="10">
        <v>39656677.110941559</v>
      </c>
      <c r="AP111" s="10">
        <v>177118</v>
      </c>
      <c r="AQ111" s="10">
        <v>320948</v>
      </c>
      <c r="AR111" s="10">
        <v>348549</v>
      </c>
      <c r="AS111" s="10">
        <v>672385</v>
      </c>
      <c r="AT111" s="10">
        <v>8302245</v>
      </c>
      <c r="AU111" s="10">
        <v>14313706</v>
      </c>
      <c r="AV111" s="10">
        <v>2748614</v>
      </c>
      <c r="AW111" s="10">
        <v>4478791</v>
      </c>
      <c r="AX111" s="10">
        <v>4121148</v>
      </c>
      <c r="AY111" s="10">
        <v>7632869</v>
      </c>
      <c r="AZ111" s="10">
        <v>7121957</v>
      </c>
      <c r="BA111" s="10">
        <v>13667850</v>
      </c>
      <c r="BB111" s="10">
        <v>4776965</v>
      </c>
      <c r="BC111" s="10">
        <v>8488553</v>
      </c>
      <c r="BD111" s="10">
        <v>10907381</v>
      </c>
      <c r="BE111" s="10">
        <v>16343001</v>
      </c>
      <c r="BF111" s="10">
        <v>8493592</v>
      </c>
      <c r="BG111" s="10">
        <v>16114685</v>
      </c>
      <c r="BH111" s="10">
        <v>55385528</v>
      </c>
      <c r="BI111" s="10">
        <v>95267981</v>
      </c>
      <c r="BJ111" s="10">
        <v>27537439</v>
      </c>
      <c r="BK111" s="10">
        <v>43561828</v>
      </c>
      <c r="BL111" s="108">
        <v>31803662</v>
      </c>
      <c r="BM111" s="108">
        <v>52442923</v>
      </c>
      <c r="BN111" s="10">
        <v>3141260</v>
      </c>
      <c r="BO111" s="10">
        <v>5537941</v>
      </c>
      <c r="BP111" s="88" t="e">
        <f>SUM(B111+D111+F111+H111+J111+L111+N111+P111+R111+T111+V111+X111+Z111+AB111+AD111+AF111+AH111+AJ111+AL111+AN111+AP111+AR111+AT111+AV111+#REF!+AZ111+BB111+BD111+BF111+BH111+BJ111+BL111+BN111)</f>
        <v>#REF!</v>
      </c>
      <c r="BQ111" s="88" t="e">
        <f>SUM(C111+E111+G111+I111+K111+M111+O111+Q111+S111+U111+W111+Y111+AA111+AC111+AE111+AG111+AI111+AK111+AM111+AO111+AQ111+AS111+AU111+AW111+#REF!+BA111+BC111+BE111+BG111+BI111+BK111+BM111+BO111)</f>
        <v>#REF!</v>
      </c>
    </row>
  </sheetData>
  <mergeCells count="340">
    <mergeCell ref="J4:K4"/>
    <mergeCell ref="L4:M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BJ4:BK4"/>
    <mergeCell ref="BL4:BM4"/>
    <mergeCell ref="BN4:BO4"/>
    <mergeCell ref="BP4:BQ4"/>
    <mergeCell ref="B15:C15"/>
    <mergeCell ref="D15:E15"/>
    <mergeCell ref="F15:G15"/>
    <mergeCell ref="H15:I15"/>
    <mergeCell ref="J15:K15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B4:C4"/>
    <mergeCell ref="D4:E4"/>
    <mergeCell ref="F4:G4"/>
    <mergeCell ref="H4:I4"/>
    <mergeCell ref="BN15:BO15"/>
    <mergeCell ref="BP15:BQ15"/>
    <mergeCell ref="AV15:AW15"/>
    <mergeCell ref="AX15:AY15"/>
    <mergeCell ref="AZ15:BA15"/>
    <mergeCell ref="BB15:BC15"/>
    <mergeCell ref="BD15:BE15"/>
    <mergeCell ref="BF15:BG15"/>
    <mergeCell ref="R15:S15"/>
    <mergeCell ref="T15:U15"/>
    <mergeCell ref="V15:W15"/>
    <mergeCell ref="B26:C26"/>
    <mergeCell ref="D26:E26"/>
    <mergeCell ref="F26:G26"/>
    <mergeCell ref="H26:I26"/>
    <mergeCell ref="J26:K26"/>
    <mergeCell ref="L26:M26"/>
    <mergeCell ref="BH15:BI15"/>
    <mergeCell ref="BJ15:BK15"/>
    <mergeCell ref="BL15:BM15"/>
    <mergeCell ref="AJ15:AK15"/>
    <mergeCell ref="AL15:AM15"/>
    <mergeCell ref="AN15:AO15"/>
    <mergeCell ref="AP15:AQ15"/>
    <mergeCell ref="AR15:AS15"/>
    <mergeCell ref="AT15:AU15"/>
    <mergeCell ref="X15:Y15"/>
    <mergeCell ref="Z15:AA15"/>
    <mergeCell ref="AB15:AC15"/>
    <mergeCell ref="AD15:AE15"/>
    <mergeCell ref="AF15:AG15"/>
    <mergeCell ref="AH15:AI15"/>
    <mergeCell ref="L15:M15"/>
    <mergeCell ref="N15:O15"/>
    <mergeCell ref="P15:Q15"/>
    <mergeCell ref="AF26:AG26"/>
    <mergeCell ref="AH26:AI26"/>
    <mergeCell ref="AJ26:AK26"/>
    <mergeCell ref="N26:O26"/>
    <mergeCell ref="P26:Q26"/>
    <mergeCell ref="R26:S26"/>
    <mergeCell ref="T26:U26"/>
    <mergeCell ref="V26:W26"/>
    <mergeCell ref="X26:Y26"/>
    <mergeCell ref="BJ26:BK26"/>
    <mergeCell ref="BL26:BM26"/>
    <mergeCell ref="BN26:BO26"/>
    <mergeCell ref="BP26:BQ26"/>
    <mergeCell ref="B37:C37"/>
    <mergeCell ref="D37:E37"/>
    <mergeCell ref="F37:G37"/>
    <mergeCell ref="H37:I37"/>
    <mergeCell ref="J37:K37"/>
    <mergeCell ref="AX26:AY26"/>
    <mergeCell ref="AZ26:BA26"/>
    <mergeCell ref="BB26:BC26"/>
    <mergeCell ref="BD26:BE26"/>
    <mergeCell ref="BF26:BG26"/>
    <mergeCell ref="BH26:BI26"/>
    <mergeCell ref="AL26:AM26"/>
    <mergeCell ref="AN26:AO26"/>
    <mergeCell ref="AP26:AQ26"/>
    <mergeCell ref="AR26:AS26"/>
    <mergeCell ref="AT26:AU26"/>
    <mergeCell ref="AV26:AW26"/>
    <mergeCell ref="Z26:AA26"/>
    <mergeCell ref="AB26:AC26"/>
    <mergeCell ref="AD26:AE26"/>
    <mergeCell ref="BN37:BO37"/>
    <mergeCell ref="BP37:BQ37"/>
    <mergeCell ref="AV37:AW37"/>
    <mergeCell ref="AX37:AY37"/>
    <mergeCell ref="AZ37:BA37"/>
    <mergeCell ref="BB37:BC37"/>
    <mergeCell ref="BD37:BE37"/>
    <mergeCell ref="BF37:BG37"/>
    <mergeCell ref="R37:S37"/>
    <mergeCell ref="T37:U37"/>
    <mergeCell ref="V37:W37"/>
    <mergeCell ref="B48:C48"/>
    <mergeCell ref="D48:E48"/>
    <mergeCell ref="F48:G48"/>
    <mergeCell ref="H48:I48"/>
    <mergeCell ref="J48:K48"/>
    <mergeCell ref="L48:M48"/>
    <mergeCell ref="BH37:BI37"/>
    <mergeCell ref="BJ37:BK37"/>
    <mergeCell ref="BL37:BM37"/>
    <mergeCell ref="AJ37:AK37"/>
    <mergeCell ref="AL37:AM37"/>
    <mergeCell ref="AN37:AO37"/>
    <mergeCell ref="AP37:AQ37"/>
    <mergeCell ref="AR37:AS37"/>
    <mergeCell ref="AT37:AU37"/>
    <mergeCell ref="X37:Y37"/>
    <mergeCell ref="Z37:AA37"/>
    <mergeCell ref="AB37:AC37"/>
    <mergeCell ref="AD37:AE37"/>
    <mergeCell ref="AF37:AG37"/>
    <mergeCell ref="AH37:AI37"/>
    <mergeCell ref="L37:M37"/>
    <mergeCell ref="N37:O37"/>
    <mergeCell ref="P37:Q37"/>
    <mergeCell ref="AF48:AG48"/>
    <mergeCell ref="AH48:AI48"/>
    <mergeCell ref="AJ48:AK48"/>
    <mergeCell ref="N48:O48"/>
    <mergeCell ref="P48:Q48"/>
    <mergeCell ref="R48:S48"/>
    <mergeCell ref="T48:U48"/>
    <mergeCell ref="V48:W48"/>
    <mergeCell ref="X48:Y48"/>
    <mergeCell ref="BJ48:BK48"/>
    <mergeCell ref="BL48:BM48"/>
    <mergeCell ref="BN48:BO48"/>
    <mergeCell ref="BP48:BQ48"/>
    <mergeCell ref="B59:C59"/>
    <mergeCell ref="D59:E59"/>
    <mergeCell ref="F59:G59"/>
    <mergeCell ref="H59:I59"/>
    <mergeCell ref="J59:K59"/>
    <mergeCell ref="AX48:AY48"/>
    <mergeCell ref="AZ48:BA48"/>
    <mergeCell ref="BB48:BC48"/>
    <mergeCell ref="BD48:BE48"/>
    <mergeCell ref="BF48:BG48"/>
    <mergeCell ref="BH48:BI48"/>
    <mergeCell ref="AL48:AM48"/>
    <mergeCell ref="AN48:AO48"/>
    <mergeCell ref="AP48:AQ48"/>
    <mergeCell ref="AR48:AS48"/>
    <mergeCell ref="AT48:AU48"/>
    <mergeCell ref="AV48:AW48"/>
    <mergeCell ref="Z48:AA48"/>
    <mergeCell ref="AB48:AC48"/>
    <mergeCell ref="AD48:AE48"/>
    <mergeCell ref="BN59:BO59"/>
    <mergeCell ref="BP59:BQ59"/>
    <mergeCell ref="AV59:AW59"/>
    <mergeCell ref="AX59:AY59"/>
    <mergeCell ref="AZ59:BA59"/>
    <mergeCell ref="BB59:BC59"/>
    <mergeCell ref="BD59:BE59"/>
    <mergeCell ref="BF59:BG59"/>
    <mergeCell ref="R59:S59"/>
    <mergeCell ref="T59:U59"/>
    <mergeCell ref="V59:W59"/>
    <mergeCell ref="B70:C70"/>
    <mergeCell ref="D70:E70"/>
    <mergeCell ref="F70:G70"/>
    <mergeCell ref="H70:I70"/>
    <mergeCell ref="J70:K70"/>
    <mergeCell ref="L70:M70"/>
    <mergeCell ref="BH59:BI59"/>
    <mergeCell ref="BJ59:BK59"/>
    <mergeCell ref="BL59:BM59"/>
    <mergeCell ref="AJ59:AK59"/>
    <mergeCell ref="AL59:AM59"/>
    <mergeCell ref="AN59:AO59"/>
    <mergeCell ref="AP59:AQ59"/>
    <mergeCell ref="AR59:AS59"/>
    <mergeCell ref="AT59:AU59"/>
    <mergeCell ref="X59:Y59"/>
    <mergeCell ref="Z59:AA59"/>
    <mergeCell ref="AB59:AC59"/>
    <mergeCell ref="AD59:AE59"/>
    <mergeCell ref="AF59:AG59"/>
    <mergeCell ref="AH59:AI59"/>
    <mergeCell ref="L59:M59"/>
    <mergeCell ref="N59:O59"/>
    <mergeCell ref="P59:Q59"/>
    <mergeCell ref="AF70:AG70"/>
    <mergeCell ref="AH70:AI70"/>
    <mergeCell ref="AJ70:AK70"/>
    <mergeCell ref="N70:O70"/>
    <mergeCell ref="P70:Q70"/>
    <mergeCell ref="R70:S70"/>
    <mergeCell ref="T70:U70"/>
    <mergeCell ref="V70:W70"/>
    <mergeCell ref="X70:Y70"/>
    <mergeCell ref="BJ70:BK70"/>
    <mergeCell ref="BL70:BM70"/>
    <mergeCell ref="BN70:BO70"/>
    <mergeCell ref="BP70:BQ70"/>
    <mergeCell ref="B81:C81"/>
    <mergeCell ref="D81:E81"/>
    <mergeCell ref="F81:G81"/>
    <mergeCell ref="H81:I81"/>
    <mergeCell ref="J81:K81"/>
    <mergeCell ref="AX70:AY70"/>
    <mergeCell ref="AZ70:BA70"/>
    <mergeCell ref="BB70:BC70"/>
    <mergeCell ref="BD70:BE70"/>
    <mergeCell ref="BF70:BG70"/>
    <mergeCell ref="BH70:BI70"/>
    <mergeCell ref="AL70:AM70"/>
    <mergeCell ref="AN70:AO70"/>
    <mergeCell ref="AP70:AQ70"/>
    <mergeCell ref="AR70:AS70"/>
    <mergeCell ref="AT70:AU70"/>
    <mergeCell ref="AV70:AW70"/>
    <mergeCell ref="Z70:AA70"/>
    <mergeCell ref="AB70:AC70"/>
    <mergeCell ref="AD70:AE70"/>
    <mergeCell ref="BN81:BO81"/>
    <mergeCell ref="BP81:BQ81"/>
    <mergeCell ref="AV81:AW81"/>
    <mergeCell ref="AX81:AY81"/>
    <mergeCell ref="AZ81:BA81"/>
    <mergeCell ref="BB81:BC81"/>
    <mergeCell ref="BD81:BE81"/>
    <mergeCell ref="BF81:BG81"/>
    <mergeCell ref="R81:S81"/>
    <mergeCell ref="T81:U81"/>
    <mergeCell ref="V81:W81"/>
    <mergeCell ref="D92:E92"/>
    <mergeCell ref="F92:G92"/>
    <mergeCell ref="H92:I92"/>
    <mergeCell ref="J92:K92"/>
    <mergeCell ref="L92:M92"/>
    <mergeCell ref="BH81:BI81"/>
    <mergeCell ref="BJ81:BK81"/>
    <mergeCell ref="BL81:BM81"/>
    <mergeCell ref="AJ81:AK81"/>
    <mergeCell ref="AL81:AM81"/>
    <mergeCell ref="AN81:AO81"/>
    <mergeCell ref="AP81:AQ81"/>
    <mergeCell ref="AR81:AS81"/>
    <mergeCell ref="AT81:AU81"/>
    <mergeCell ref="X81:Y81"/>
    <mergeCell ref="Z81:AA81"/>
    <mergeCell ref="AB81:AC81"/>
    <mergeCell ref="AD81:AE81"/>
    <mergeCell ref="AF81:AG81"/>
    <mergeCell ref="AH81:AI81"/>
    <mergeCell ref="L81:M81"/>
    <mergeCell ref="N81:O81"/>
    <mergeCell ref="P81:Q81"/>
    <mergeCell ref="BP92:BQ92"/>
    <mergeCell ref="B103:C103"/>
    <mergeCell ref="D103:E103"/>
    <mergeCell ref="F103:G103"/>
    <mergeCell ref="H103:I103"/>
    <mergeCell ref="J103:K103"/>
    <mergeCell ref="AX92:AY92"/>
    <mergeCell ref="AZ92:BA92"/>
    <mergeCell ref="BB92:BC92"/>
    <mergeCell ref="BD92:BE92"/>
    <mergeCell ref="BF92:BG92"/>
    <mergeCell ref="BH92:BI92"/>
    <mergeCell ref="AL92:AM92"/>
    <mergeCell ref="AN92:AO92"/>
    <mergeCell ref="AP92:AQ92"/>
    <mergeCell ref="AR92:AS92"/>
    <mergeCell ref="AT92:AU92"/>
    <mergeCell ref="AV92:AW92"/>
    <mergeCell ref="Z92:AA92"/>
    <mergeCell ref="AB92:AC92"/>
    <mergeCell ref="AD92:AE92"/>
    <mergeCell ref="AF92:AG92"/>
    <mergeCell ref="AH92:AI92"/>
    <mergeCell ref="B92:C92"/>
    <mergeCell ref="L103:M103"/>
    <mergeCell ref="N103:O103"/>
    <mergeCell ref="P103:Q103"/>
    <mergeCell ref="R103:S103"/>
    <mergeCell ref="T103:U103"/>
    <mergeCell ref="V103:W103"/>
    <mergeCell ref="BJ92:BK92"/>
    <mergeCell ref="BL92:BM92"/>
    <mergeCell ref="BN92:BO92"/>
    <mergeCell ref="AJ92:AK92"/>
    <mergeCell ref="N92:O92"/>
    <mergeCell ref="P92:Q92"/>
    <mergeCell ref="R92:S92"/>
    <mergeCell ref="T92:U92"/>
    <mergeCell ref="V92:W92"/>
    <mergeCell ref="X92:Y92"/>
    <mergeCell ref="AJ103:AK103"/>
    <mergeCell ref="AL103:AM103"/>
    <mergeCell ref="AN103:AO103"/>
    <mergeCell ref="AP103:AQ103"/>
    <mergeCell ref="AR103:AS103"/>
    <mergeCell ref="AT103:AU103"/>
    <mergeCell ref="X103:Y103"/>
    <mergeCell ref="Z103:AA103"/>
    <mergeCell ref="BP103:BQ103"/>
    <mergeCell ref="AV103:AW103"/>
    <mergeCell ref="AX103:AY103"/>
    <mergeCell ref="AZ103:BA103"/>
    <mergeCell ref="BB103:BC103"/>
    <mergeCell ref="BD103:BE103"/>
    <mergeCell ref="BF103:BG103"/>
    <mergeCell ref="AB103:AC103"/>
    <mergeCell ref="AD103:AE103"/>
    <mergeCell ref="AF103:AG103"/>
    <mergeCell ref="AH103:AI103"/>
    <mergeCell ref="BH103:BI103"/>
    <mergeCell ref="BJ103:BK103"/>
    <mergeCell ref="BL103:BM103"/>
    <mergeCell ref="BN103:BO10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7" customWidth="1"/>
    <col min="2" max="35" width="16" style="7" customWidth="1"/>
    <col min="36" max="36" width="16" style="8" customWidth="1"/>
    <col min="37" max="69" width="16" style="7" customWidth="1"/>
    <col min="70" max="16384" width="9.140625" style="7"/>
  </cols>
  <sheetData>
    <row r="1" spans="1:69" ht="18.75" x14ac:dyDescent="0.3">
      <c r="A1" s="9" t="s">
        <v>215</v>
      </c>
    </row>
    <row r="2" spans="1:69" x14ac:dyDescent="0.25">
      <c r="A2" s="28" t="s">
        <v>34</v>
      </c>
    </row>
    <row r="3" spans="1:69" x14ac:dyDescent="0.25">
      <c r="A3" s="29" t="s">
        <v>216</v>
      </c>
    </row>
    <row r="4" spans="1:69" x14ac:dyDescent="0.25">
      <c r="A4" s="3" t="s">
        <v>0</v>
      </c>
      <c r="B4" s="116" t="s">
        <v>1</v>
      </c>
      <c r="C4" s="117"/>
      <c r="D4" s="116" t="s">
        <v>285</v>
      </c>
      <c r="E4" s="117"/>
      <c r="F4" s="116" t="s">
        <v>2</v>
      </c>
      <c r="G4" s="117"/>
      <c r="H4" s="116" t="s">
        <v>3</v>
      </c>
      <c r="I4" s="117"/>
      <c r="J4" s="116" t="s">
        <v>4</v>
      </c>
      <c r="K4" s="117"/>
      <c r="L4" s="116" t="s">
        <v>286</v>
      </c>
      <c r="M4" s="117"/>
      <c r="N4" s="116" t="s">
        <v>6</v>
      </c>
      <c r="O4" s="117"/>
      <c r="P4" s="116" t="s">
        <v>5</v>
      </c>
      <c r="Q4" s="117"/>
      <c r="R4" s="116" t="s">
        <v>7</v>
      </c>
      <c r="S4" s="117"/>
      <c r="T4" s="116" t="s">
        <v>287</v>
      </c>
      <c r="U4" s="117"/>
      <c r="V4" s="116" t="s">
        <v>8</v>
      </c>
      <c r="W4" s="117"/>
      <c r="X4" s="116" t="s">
        <v>288</v>
      </c>
      <c r="Y4" s="117"/>
      <c r="Z4" s="116" t="s">
        <v>9</v>
      </c>
      <c r="AA4" s="117"/>
      <c r="AB4" s="116" t="s">
        <v>10</v>
      </c>
      <c r="AC4" s="117"/>
      <c r="AD4" s="116" t="s">
        <v>289</v>
      </c>
      <c r="AE4" s="117"/>
      <c r="AF4" s="116" t="s">
        <v>11</v>
      </c>
      <c r="AG4" s="117"/>
      <c r="AH4" s="116" t="s">
        <v>12</v>
      </c>
      <c r="AI4" s="117"/>
      <c r="AJ4" s="116" t="s">
        <v>290</v>
      </c>
      <c r="AK4" s="117"/>
      <c r="AL4" s="116" t="s">
        <v>299</v>
      </c>
      <c r="AM4" s="117"/>
      <c r="AN4" s="116" t="s">
        <v>13</v>
      </c>
      <c r="AO4" s="117"/>
      <c r="AP4" s="116" t="s">
        <v>291</v>
      </c>
      <c r="AQ4" s="117"/>
      <c r="AR4" s="116" t="s">
        <v>292</v>
      </c>
      <c r="AS4" s="117"/>
      <c r="AT4" s="116" t="s">
        <v>307</v>
      </c>
      <c r="AU4" s="117"/>
      <c r="AV4" s="116" t="s">
        <v>293</v>
      </c>
      <c r="AW4" s="117"/>
      <c r="AX4" s="116" t="s">
        <v>14</v>
      </c>
      <c r="AY4" s="117"/>
      <c r="AZ4" s="116" t="s">
        <v>15</v>
      </c>
      <c r="BA4" s="117"/>
      <c r="BB4" s="116" t="s">
        <v>16</v>
      </c>
      <c r="BC4" s="117"/>
      <c r="BD4" s="116" t="s">
        <v>17</v>
      </c>
      <c r="BE4" s="117"/>
      <c r="BF4" s="116" t="s">
        <v>18</v>
      </c>
      <c r="BG4" s="117"/>
      <c r="BH4" s="116" t="s">
        <v>294</v>
      </c>
      <c r="BI4" s="117"/>
      <c r="BJ4" s="116" t="s">
        <v>295</v>
      </c>
      <c r="BK4" s="117"/>
      <c r="BL4" s="116" t="s">
        <v>19</v>
      </c>
      <c r="BM4" s="117"/>
      <c r="BN4" s="116" t="s">
        <v>20</v>
      </c>
      <c r="BO4" s="117"/>
      <c r="BP4" s="118" t="s">
        <v>21</v>
      </c>
      <c r="BQ4" s="119"/>
    </row>
    <row r="5" spans="1:69" ht="30" x14ac:dyDescent="0.25">
      <c r="A5" s="3"/>
      <c r="B5" s="67" t="s">
        <v>296</v>
      </c>
      <c r="C5" s="68" t="s">
        <v>297</v>
      </c>
      <c r="D5" s="67" t="s">
        <v>296</v>
      </c>
      <c r="E5" s="68" t="s">
        <v>297</v>
      </c>
      <c r="F5" s="67" t="s">
        <v>296</v>
      </c>
      <c r="G5" s="68" t="s">
        <v>297</v>
      </c>
      <c r="H5" s="67" t="s">
        <v>296</v>
      </c>
      <c r="I5" s="68" t="s">
        <v>297</v>
      </c>
      <c r="J5" s="67" t="s">
        <v>296</v>
      </c>
      <c r="K5" s="68" t="s">
        <v>297</v>
      </c>
      <c r="L5" s="67" t="s">
        <v>296</v>
      </c>
      <c r="M5" s="68" t="s">
        <v>297</v>
      </c>
      <c r="N5" s="67" t="s">
        <v>296</v>
      </c>
      <c r="O5" s="68" t="s">
        <v>297</v>
      </c>
      <c r="P5" s="67" t="s">
        <v>296</v>
      </c>
      <c r="Q5" s="68" t="s">
        <v>297</v>
      </c>
      <c r="R5" s="67" t="s">
        <v>296</v>
      </c>
      <c r="S5" s="68" t="s">
        <v>297</v>
      </c>
      <c r="T5" s="67" t="s">
        <v>296</v>
      </c>
      <c r="U5" s="68" t="s">
        <v>297</v>
      </c>
      <c r="V5" s="67" t="s">
        <v>296</v>
      </c>
      <c r="W5" s="68" t="s">
        <v>297</v>
      </c>
      <c r="X5" s="67" t="s">
        <v>296</v>
      </c>
      <c r="Y5" s="68" t="s">
        <v>297</v>
      </c>
      <c r="Z5" s="67" t="s">
        <v>296</v>
      </c>
      <c r="AA5" s="68" t="s">
        <v>297</v>
      </c>
      <c r="AB5" s="67" t="s">
        <v>296</v>
      </c>
      <c r="AC5" s="68" t="s">
        <v>297</v>
      </c>
      <c r="AD5" s="67" t="s">
        <v>296</v>
      </c>
      <c r="AE5" s="68" t="s">
        <v>297</v>
      </c>
      <c r="AF5" s="67" t="s">
        <v>296</v>
      </c>
      <c r="AG5" s="68" t="s">
        <v>297</v>
      </c>
      <c r="AH5" s="67" t="s">
        <v>296</v>
      </c>
      <c r="AI5" s="68" t="s">
        <v>297</v>
      </c>
      <c r="AJ5" s="67" t="s">
        <v>296</v>
      </c>
      <c r="AK5" s="68" t="s">
        <v>297</v>
      </c>
      <c r="AL5" s="67" t="s">
        <v>296</v>
      </c>
      <c r="AM5" s="68" t="s">
        <v>297</v>
      </c>
      <c r="AN5" s="67" t="s">
        <v>296</v>
      </c>
      <c r="AO5" s="68" t="s">
        <v>297</v>
      </c>
      <c r="AP5" s="67" t="s">
        <v>296</v>
      </c>
      <c r="AQ5" s="68" t="s">
        <v>297</v>
      </c>
      <c r="AR5" s="67" t="s">
        <v>296</v>
      </c>
      <c r="AS5" s="68" t="s">
        <v>297</v>
      </c>
      <c r="AT5" s="67" t="s">
        <v>296</v>
      </c>
      <c r="AU5" s="68" t="s">
        <v>297</v>
      </c>
      <c r="AV5" s="67" t="s">
        <v>296</v>
      </c>
      <c r="AW5" s="68" t="s">
        <v>297</v>
      </c>
      <c r="AX5" s="67" t="s">
        <v>296</v>
      </c>
      <c r="AY5" s="68" t="s">
        <v>297</v>
      </c>
      <c r="AZ5" s="67" t="s">
        <v>296</v>
      </c>
      <c r="BA5" s="68" t="s">
        <v>297</v>
      </c>
      <c r="BB5" s="67" t="s">
        <v>296</v>
      </c>
      <c r="BC5" s="68" t="s">
        <v>297</v>
      </c>
      <c r="BD5" s="67" t="s">
        <v>296</v>
      </c>
      <c r="BE5" s="68" t="s">
        <v>297</v>
      </c>
      <c r="BF5" s="67" t="s">
        <v>296</v>
      </c>
      <c r="BG5" s="68" t="s">
        <v>297</v>
      </c>
      <c r="BH5" s="67" t="s">
        <v>296</v>
      </c>
      <c r="BI5" s="68" t="s">
        <v>297</v>
      </c>
      <c r="BJ5" s="67" t="s">
        <v>296</v>
      </c>
      <c r="BK5" s="68" t="s">
        <v>297</v>
      </c>
      <c r="BL5" s="67" t="s">
        <v>296</v>
      </c>
      <c r="BM5" s="68" t="s">
        <v>297</v>
      </c>
      <c r="BN5" s="67" t="s">
        <v>296</v>
      </c>
      <c r="BO5" s="68" t="s">
        <v>297</v>
      </c>
      <c r="BP5" s="84" t="s">
        <v>280</v>
      </c>
      <c r="BQ5" s="85" t="s">
        <v>281</v>
      </c>
    </row>
    <row r="6" spans="1:69" x14ac:dyDescent="0.25">
      <c r="A6" s="30" t="s">
        <v>225</v>
      </c>
      <c r="B6" s="10"/>
      <c r="C6" s="10"/>
      <c r="D6" s="10"/>
      <c r="E6" s="10"/>
      <c r="F6" s="10"/>
      <c r="G6" s="10"/>
      <c r="H6" s="10">
        <v>241411</v>
      </c>
      <c r="I6" s="10">
        <v>627081</v>
      </c>
      <c r="J6" s="10">
        <v>52040</v>
      </c>
      <c r="K6" s="10">
        <v>162503</v>
      </c>
      <c r="L6" s="10">
        <v>88833</v>
      </c>
      <c r="M6" s="10">
        <v>173849</v>
      </c>
      <c r="N6" s="10"/>
      <c r="O6" s="10"/>
      <c r="P6" s="10">
        <v>3128</v>
      </c>
      <c r="Q6" s="10">
        <v>7407</v>
      </c>
      <c r="R6" s="10">
        <v>64372</v>
      </c>
      <c r="S6" s="10">
        <v>197045</v>
      </c>
      <c r="T6" s="10">
        <v>38184</v>
      </c>
      <c r="U6" s="10">
        <v>103244</v>
      </c>
      <c r="V6" s="10">
        <v>238551</v>
      </c>
      <c r="W6" s="10">
        <v>613012</v>
      </c>
      <c r="X6" s="10"/>
      <c r="Y6" s="10"/>
      <c r="Z6" s="10">
        <v>363981</v>
      </c>
      <c r="AA6" s="10">
        <v>1003329</v>
      </c>
      <c r="AB6" s="10">
        <v>189986</v>
      </c>
      <c r="AC6" s="10">
        <v>496510</v>
      </c>
      <c r="AD6" s="10">
        <v>10241</v>
      </c>
      <c r="AE6" s="10">
        <v>15883</v>
      </c>
      <c r="AF6" s="10">
        <v>20231</v>
      </c>
      <c r="AG6" s="10">
        <v>51280</v>
      </c>
      <c r="AH6" s="10">
        <v>17071</v>
      </c>
      <c r="AI6" s="10">
        <v>40183</v>
      </c>
      <c r="AJ6" s="92"/>
      <c r="AK6" s="10"/>
      <c r="AL6" s="10"/>
      <c r="AM6" s="10"/>
      <c r="AN6" s="10">
        <v>260211.59100000001</v>
      </c>
      <c r="AO6" s="10">
        <v>620136.94700000004</v>
      </c>
      <c r="AP6" s="10">
        <v>10582</v>
      </c>
      <c r="AQ6" s="10">
        <v>11472</v>
      </c>
      <c r="AR6" s="10">
        <v>4193</v>
      </c>
      <c r="AS6" s="10">
        <v>7770</v>
      </c>
      <c r="AT6" s="10">
        <v>144334</v>
      </c>
      <c r="AU6" s="10">
        <v>482489</v>
      </c>
      <c r="AV6" s="10"/>
      <c r="AW6" s="10"/>
      <c r="AX6" s="10">
        <v>69472</v>
      </c>
      <c r="AY6" s="10">
        <v>201122</v>
      </c>
      <c r="AZ6" s="10">
        <v>348595</v>
      </c>
      <c r="BA6" s="10">
        <v>713854</v>
      </c>
      <c r="BB6" s="10">
        <v>14197</v>
      </c>
      <c r="BC6" s="10">
        <v>24761</v>
      </c>
      <c r="BD6" s="10"/>
      <c r="BE6" s="10"/>
      <c r="BF6" s="10">
        <v>268464</v>
      </c>
      <c r="BG6" s="10">
        <v>734036</v>
      </c>
      <c r="BH6" s="10">
        <v>1076296</v>
      </c>
      <c r="BI6" s="10">
        <v>2740274</v>
      </c>
      <c r="BJ6" s="10">
        <v>345409</v>
      </c>
      <c r="BK6" s="10">
        <v>809314</v>
      </c>
      <c r="BL6" s="108">
        <v>333210</v>
      </c>
      <c r="BM6" s="108">
        <v>819094</v>
      </c>
      <c r="BN6" s="10">
        <v>32433</v>
      </c>
      <c r="BO6" s="10">
        <v>80416</v>
      </c>
      <c r="BP6" s="88">
        <f t="shared" ref="BP6:BP9" si="0">SUM(B6+D6+F6+H6+J6+L6+N6+P6+R6+T6+V6+X6+Z6+AB6+AD6+AF6+AH6+AJ6+AL6+AN6+AP6+AR6+AT6+AV6+AX6+AZ6+BB6+BD6+BF6+BH6+BJ6+BL6+BN6)</f>
        <v>4235425.591</v>
      </c>
      <c r="BQ6" s="88">
        <f t="shared" ref="BQ6:BQ9" si="1">SUM(C6+E6+G6+I6+K6+M6+O6+Q6+S6+U6+W6+Y6+AA6+AC6+AE6+AG6+AI6+AK6+AM6+AO6+AQ6+AS6+AU6+AW6+AY6+BA6+BC6+BE6+BG6+BI6+BK6+BM6+BO6)</f>
        <v>10736064.947000001</v>
      </c>
    </row>
    <row r="7" spans="1:69" x14ac:dyDescent="0.25">
      <c r="A7" s="30" t="s">
        <v>276</v>
      </c>
      <c r="B7" s="10"/>
      <c r="C7" s="10"/>
      <c r="D7" s="10"/>
      <c r="E7" s="10"/>
      <c r="F7" s="10"/>
      <c r="G7" s="10"/>
      <c r="H7" s="10">
        <v>15441</v>
      </c>
      <c r="I7" s="10">
        <v>32021</v>
      </c>
      <c r="J7" s="10">
        <v>5807</v>
      </c>
      <c r="K7" s="10">
        <v>12479</v>
      </c>
      <c r="L7" s="10">
        <v>883</v>
      </c>
      <c r="M7" s="10">
        <v>1578</v>
      </c>
      <c r="N7" s="10"/>
      <c r="O7" s="10"/>
      <c r="P7" s="10">
        <v>1170</v>
      </c>
      <c r="Q7" s="10">
        <v>5134</v>
      </c>
      <c r="R7" s="10">
        <v>6584</v>
      </c>
      <c r="S7" s="10">
        <v>31399</v>
      </c>
      <c r="T7" s="10">
        <v>62303</v>
      </c>
      <c r="U7" s="10">
        <v>284441</v>
      </c>
      <c r="V7" s="10">
        <v>13228</v>
      </c>
      <c r="W7" s="10">
        <v>48923</v>
      </c>
      <c r="X7" s="10"/>
      <c r="Y7" s="10"/>
      <c r="Z7" s="10">
        <v>24339</v>
      </c>
      <c r="AA7" s="10">
        <v>66969</v>
      </c>
      <c r="AB7" s="10">
        <v>15808</v>
      </c>
      <c r="AC7" s="10">
        <v>36076</v>
      </c>
      <c r="AD7" s="10">
        <v>217</v>
      </c>
      <c r="AE7" s="10">
        <v>757</v>
      </c>
      <c r="AF7" s="10">
        <v>913</v>
      </c>
      <c r="AG7" s="10">
        <v>1283</v>
      </c>
      <c r="AH7" s="10">
        <v>6082</v>
      </c>
      <c r="AI7" s="10">
        <v>27158</v>
      </c>
      <c r="AJ7" s="92"/>
      <c r="AK7" s="10"/>
      <c r="AL7" s="10"/>
      <c r="AM7" s="10"/>
      <c r="AN7" s="10">
        <v>10014.972999999998</v>
      </c>
      <c r="AO7" s="10">
        <v>70330.298999999999</v>
      </c>
      <c r="AP7" s="10">
        <v>201</v>
      </c>
      <c r="AQ7" s="10">
        <v>337</v>
      </c>
      <c r="AR7" s="10">
        <v>1029</v>
      </c>
      <c r="AS7" s="10">
        <v>2397</v>
      </c>
      <c r="AT7" s="10">
        <v>13863</v>
      </c>
      <c r="AU7" s="10">
        <v>26052</v>
      </c>
      <c r="AV7" s="10"/>
      <c r="AW7" s="10"/>
      <c r="AX7" s="10">
        <v>11628</v>
      </c>
      <c r="AY7" s="10">
        <v>34931</v>
      </c>
      <c r="AZ7" s="10">
        <v>1688</v>
      </c>
      <c r="BA7" s="10">
        <v>2555</v>
      </c>
      <c r="BB7" s="10">
        <v>2040</v>
      </c>
      <c r="BC7" s="10">
        <v>4551</v>
      </c>
      <c r="BD7" s="10"/>
      <c r="BE7" s="10"/>
      <c r="BF7" s="10">
        <v>7657</v>
      </c>
      <c r="BG7" s="10">
        <v>41858</v>
      </c>
      <c r="BH7" s="10">
        <v>424471</v>
      </c>
      <c r="BI7" s="10">
        <v>995469</v>
      </c>
      <c r="BJ7" s="10">
        <v>90969</v>
      </c>
      <c r="BK7" s="10">
        <v>103599</v>
      </c>
      <c r="BL7" s="108">
        <v>8670</v>
      </c>
      <c r="BM7" s="108">
        <v>56836</v>
      </c>
      <c r="BN7" s="10">
        <v>1020</v>
      </c>
      <c r="BO7" s="10">
        <v>1684</v>
      </c>
      <c r="BP7" s="88">
        <f t="shared" si="0"/>
        <v>726025.973</v>
      </c>
      <c r="BQ7" s="88">
        <f t="shared" si="1"/>
        <v>1888817.2990000001</v>
      </c>
    </row>
    <row r="8" spans="1:69" x14ac:dyDescent="0.25">
      <c r="A8" s="30" t="s">
        <v>277</v>
      </c>
      <c r="B8" s="10"/>
      <c r="C8" s="10"/>
      <c r="D8" s="10"/>
      <c r="E8" s="10"/>
      <c r="F8" s="10"/>
      <c r="G8" s="10"/>
      <c r="H8" s="10">
        <v>589411</v>
      </c>
      <c r="I8" s="10">
        <v>1602865</v>
      </c>
      <c r="J8" s="10">
        <v>-31477</v>
      </c>
      <c r="K8" s="10">
        <v>133851</v>
      </c>
      <c r="L8" s="10">
        <v>117478</v>
      </c>
      <c r="M8" s="10">
        <v>236410</v>
      </c>
      <c r="N8" s="10"/>
      <c r="O8" s="10"/>
      <c r="P8" s="10">
        <v>4219</v>
      </c>
      <c r="Q8" s="10">
        <v>13722</v>
      </c>
      <c r="R8" s="10">
        <v>76844</v>
      </c>
      <c r="S8" s="10">
        <v>231365</v>
      </c>
      <c r="T8" s="10">
        <v>127933</v>
      </c>
      <c r="U8" s="10">
        <v>459164</v>
      </c>
      <c r="V8" s="10">
        <v>-367968</v>
      </c>
      <c r="W8" s="10">
        <v>-1046359</v>
      </c>
      <c r="X8" s="10"/>
      <c r="Y8" s="10"/>
      <c r="Z8" s="10">
        <v>466856</v>
      </c>
      <c r="AA8" s="10">
        <v>1385414</v>
      </c>
      <c r="AB8" s="10">
        <v>233731</v>
      </c>
      <c r="AC8" s="10">
        <v>710495</v>
      </c>
      <c r="AD8" s="10">
        <v>6801</v>
      </c>
      <c r="AE8" s="10">
        <v>12405</v>
      </c>
      <c r="AF8" s="10">
        <v>23594</v>
      </c>
      <c r="AG8" s="10">
        <v>70226</v>
      </c>
      <c r="AH8" s="10">
        <v>-13587</v>
      </c>
      <c r="AI8" s="10">
        <v>-75783</v>
      </c>
      <c r="AJ8" s="92"/>
      <c r="AK8" s="10"/>
      <c r="AL8" s="10"/>
      <c r="AM8" s="10"/>
      <c r="AN8" s="10">
        <v>50293.77900000001</v>
      </c>
      <c r="AO8" s="10">
        <v>165811.61600000001</v>
      </c>
      <c r="AP8" s="10">
        <v>4031</v>
      </c>
      <c r="AQ8" s="10">
        <v>9150</v>
      </c>
      <c r="AR8" s="10">
        <v>4330</v>
      </c>
      <c r="AS8" s="10">
        <v>8384</v>
      </c>
      <c r="AT8" s="10">
        <v>68621</v>
      </c>
      <c r="AU8" s="10">
        <v>388293</v>
      </c>
      <c r="AV8" s="10"/>
      <c r="AW8" s="10"/>
      <c r="AX8" s="10">
        <v>-104741</v>
      </c>
      <c r="AY8" s="10">
        <v>-274910</v>
      </c>
      <c r="AZ8" s="10">
        <v>1624690</v>
      </c>
      <c r="BA8" s="10">
        <v>2113212</v>
      </c>
      <c r="BB8" s="10">
        <v>4628</v>
      </c>
      <c r="BC8" s="10">
        <v>9929</v>
      </c>
      <c r="BD8" s="10"/>
      <c r="BE8" s="10"/>
      <c r="BF8" s="10">
        <v>516316</v>
      </c>
      <c r="BG8" s="10">
        <v>1402624</v>
      </c>
      <c r="BH8" s="10">
        <v>303277</v>
      </c>
      <c r="BI8" s="10">
        <v>995004</v>
      </c>
      <c r="BJ8" s="10">
        <v>50210</v>
      </c>
      <c r="BK8" s="10">
        <v>363545</v>
      </c>
      <c r="BL8" s="108">
        <v>125055</v>
      </c>
      <c r="BM8" s="108">
        <v>321079</v>
      </c>
      <c r="BN8" s="10">
        <v>26265</v>
      </c>
      <c r="BO8" s="10">
        <v>94380</v>
      </c>
      <c r="BP8" s="88">
        <f t="shared" si="0"/>
        <v>3906810.7790000001</v>
      </c>
      <c r="BQ8" s="88">
        <f t="shared" si="1"/>
        <v>9330276.6160000004</v>
      </c>
    </row>
    <row r="9" spans="1:69" x14ac:dyDescent="0.25">
      <c r="A9" s="30" t="s">
        <v>226</v>
      </c>
      <c r="B9" s="10"/>
      <c r="C9" s="10"/>
      <c r="D9" s="10"/>
      <c r="E9" s="10"/>
      <c r="F9" s="10"/>
      <c r="G9" s="10"/>
      <c r="H9" s="10">
        <v>-332559</v>
      </c>
      <c r="I9" s="10">
        <v>-943763</v>
      </c>
      <c r="J9" s="10">
        <v>89324</v>
      </c>
      <c r="K9" s="10">
        <v>41131</v>
      </c>
      <c r="L9" s="10">
        <v>-27762</v>
      </c>
      <c r="M9" s="10">
        <v>-60983</v>
      </c>
      <c r="N9" s="10"/>
      <c r="O9" s="10"/>
      <c r="P9" s="10">
        <v>79</v>
      </c>
      <c r="Q9" s="10">
        <v>-1181</v>
      </c>
      <c r="R9" s="10">
        <v>-5888</v>
      </c>
      <c r="S9" s="10">
        <v>-2920</v>
      </c>
      <c r="T9" s="10">
        <v>-27445</v>
      </c>
      <c r="U9" s="10">
        <v>-71479</v>
      </c>
      <c r="V9" s="10">
        <v>-116189</v>
      </c>
      <c r="W9" s="10">
        <v>-384424</v>
      </c>
      <c r="X9" s="10"/>
      <c r="Y9" s="10"/>
      <c r="Z9" s="10">
        <v>-78536</v>
      </c>
      <c r="AA9" s="10">
        <v>-315116</v>
      </c>
      <c r="AB9" s="10">
        <v>-27937</v>
      </c>
      <c r="AC9" s="10">
        <v>-177909</v>
      </c>
      <c r="AD9" s="10">
        <v>3657</v>
      </c>
      <c r="AE9" s="10">
        <v>4235</v>
      </c>
      <c r="AF9" s="10">
        <v>-2449</v>
      </c>
      <c r="AG9" s="10">
        <v>-17663</v>
      </c>
      <c r="AH9" s="10">
        <v>9566</v>
      </c>
      <c r="AI9" s="10">
        <v>-8442</v>
      </c>
      <c r="AJ9" s="92"/>
      <c r="AK9" s="10"/>
      <c r="AL9" s="10"/>
      <c r="AM9" s="10"/>
      <c r="AN9" s="10">
        <v>219932.785</v>
      </c>
      <c r="AO9" s="10">
        <v>524655.63</v>
      </c>
      <c r="AP9" s="10">
        <v>14814</v>
      </c>
      <c r="AQ9" s="10">
        <v>20959</v>
      </c>
      <c r="AR9" s="10">
        <v>892</v>
      </c>
      <c r="AS9" s="10">
        <v>1782</v>
      </c>
      <c r="AT9" s="10">
        <v>89576</v>
      </c>
      <c r="AU9" s="10">
        <v>120248</v>
      </c>
      <c r="AV9" s="10"/>
      <c r="AW9" s="10"/>
      <c r="AX9" s="10">
        <v>-23641</v>
      </c>
      <c r="AY9" s="10">
        <v>-38857</v>
      </c>
      <c r="AZ9" s="10">
        <v>-1274407</v>
      </c>
      <c r="BA9" s="10">
        <v>-1396803</v>
      </c>
      <c r="BB9" s="10">
        <v>11609</v>
      </c>
      <c r="BC9" s="10">
        <v>19383</v>
      </c>
      <c r="BD9" s="10"/>
      <c r="BE9" s="10"/>
      <c r="BF9" s="10">
        <v>-240195</v>
      </c>
      <c r="BG9" s="10">
        <v>-626730</v>
      </c>
      <c r="BH9" s="10">
        <v>1197489</v>
      </c>
      <c r="BI9" s="10">
        <v>2740738</v>
      </c>
      <c r="BJ9" s="10">
        <v>386168</v>
      </c>
      <c r="BK9" s="10">
        <v>549368</v>
      </c>
      <c r="BL9" s="108">
        <v>216825</v>
      </c>
      <c r="BM9" s="108">
        <v>554851</v>
      </c>
      <c r="BN9" s="10">
        <v>7188</v>
      </c>
      <c r="BO9" s="10">
        <v>-12280</v>
      </c>
      <c r="BP9" s="88">
        <f t="shared" si="0"/>
        <v>90111.785000000149</v>
      </c>
      <c r="BQ9" s="88">
        <f t="shared" si="1"/>
        <v>518800.62999999989</v>
      </c>
    </row>
    <row r="10" spans="1:69" x14ac:dyDescent="0.25">
      <c r="A10" s="28"/>
    </row>
    <row r="11" spans="1:69" x14ac:dyDescent="0.25">
      <c r="A11" s="29" t="s">
        <v>217</v>
      </c>
    </row>
    <row r="12" spans="1:69" x14ac:dyDescent="0.25">
      <c r="A12" s="3" t="s">
        <v>0</v>
      </c>
      <c r="B12" s="116" t="s">
        <v>1</v>
      </c>
      <c r="C12" s="117"/>
      <c r="D12" s="116" t="s">
        <v>285</v>
      </c>
      <c r="E12" s="117"/>
      <c r="F12" s="116" t="s">
        <v>2</v>
      </c>
      <c r="G12" s="117"/>
      <c r="H12" s="116" t="s">
        <v>3</v>
      </c>
      <c r="I12" s="117"/>
      <c r="J12" s="116" t="s">
        <v>4</v>
      </c>
      <c r="K12" s="117"/>
      <c r="L12" s="116" t="s">
        <v>286</v>
      </c>
      <c r="M12" s="117"/>
      <c r="N12" s="116" t="s">
        <v>6</v>
      </c>
      <c r="O12" s="117"/>
      <c r="P12" s="116" t="s">
        <v>5</v>
      </c>
      <c r="Q12" s="117"/>
      <c r="R12" s="116" t="s">
        <v>7</v>
      </c>
      <c r="S12" s="117"/>
      <c r="T12" s="116" t="s">
        <v>287</v>
      </c>
      <c r="U12" s="117"/>
      <c r="V12" s="116" t="s">
        <v>8</v>
      </c>
      <c r="W12" s="117"/>
      <c r="X12" s="116" t="s">
        <v>288</v>
      </c>
      <c r="Y12" s="117"/>
      <c r="Z12" s="116" t="s">
        <v>9</v>
      </c>
      <c r="AA12" s="117"/>
      <c r="AB12" s="116" t="s">
        <v>10</v>
      </c>
      <c r="AC12" s="117"/>
      <c r="AD12" s="116" t="s">
        <v>289</v>
      </c>
      <c r="AE12" s="117"/>
      <c r="AF12" s="116" t="s">
        <v>11</v>
      </c>
      <c r="AG12" s="117"/>
      <c r="AH12" s="116" t="s">
        <v>12</v>
      </c>
      <c r="AI12" s="117"/>
      <c r="AJ12" s="116" t="s">
        <v>290</v>
      </c>
      <c r="AK12" s="117"/>
      <c r="AL12" s="116" t="s">
        <v>299</v>
      </c>
      <c r="AM12" s="117"/>
      <c r="AN12" s="116" t="s">
        <v>13</v>
      </c>
      <c r="AO12" s="117"/>
      <c r="AP12" s="116" t="s">
        <v>291</v>
      </c>
      <c r="AQ12" s="117"/>
      <c r="AR12" s="116" t="s">
        <v>292</v>
      </c>
      <c r="AS12" s="117"/>
      <c r="AT12" s="116" t="s">
        <v>307</v>
      </c>
      <c r="AU12" s="117"/>
      <c r="AV12" s="116" t="s">
        <v>293</v>
      </c>
      <c r="AW12" s="117"/>
      <c r="AX12" s="116" t="s">
        <v>14</v>
      </c>
      <c r="AY12" s="117"/>
      <c r="AZ12" s="116" t="s">
        <v>15</v>
      </c>
      <c r="BA12" s="117"/>
      <c r="BB12" s="116" t="s">
        <v>16</v>
      </c>
      <c r="BC12" s="117"/>
      <c r="BD12" s="116" t="s">
        <v>17</v>
      </c>
      <c r="BE12" s="117"/>
      <c r="BF12" s="116" t="s">
        <v>18</v>
      </c>
      <c r="BG12" s="117"/>
      <c r="BH12" s="116" t="s">
        <v>294</v>
      </c>
      <c r="BI12" s="117"/>
      <c r="BJ12" s="116" t="s">
        <v>295</v>
      </c>
      <c r="BK12" s="117"/>
      <c r="BL12" s="116" t="s">
        <v>19</v>
      </c>
      <c r="BM12" s="117"/>
      <c r="BN12" s="116" t="s">
        <v>20</v>
      </c>
      <c r="BO12" s="117"/>
      <c r="BP12" s="118" t="s">
        <v>21</v>
      </c>
      <c r="BQ12" s="119"/>
    </row>
    <row r="13" spans="1:69" ht="30" x14ac:dyDescent="0.25">
      <c r="A13" s="3"/>
      <c r="B13" s="67" t="s">
        <v>296</v>
      </c>
      <c r="C13" s="68" t="s">
        <v>297</v>
      </c>
      <c r="D13" s="67" t="s">
        <v>296</v>
      </c>
      <c r="E13" s="68" t="s">
        <v>297</v>
      </c>
      <c r="F13" s="67" t="s">
        <v>296</v>
      </c>
      <c r="G13" s="68" t="s">
        <v>297</v>
      </c>
      <c r="H13" s="67" t="s">
        <v>296</v>
      </c>
      <c r="I13" s="68" t="s">
        <v>297</v>
      </c>
      <c r="J13" s="67" t="s">
        <v>296</v>
      </c>
      <c r="K13" s="68" t="s">
        <v>297</v>
      </c>
      <c r="L13" s="67" t="s">
        <v>296</v>
      </c>
      <c r="M13" s="68" t="s">
        <v>297</v>
      </c>
      <c r="N13" s="67" t="s">
        <v>296</v>
      </c>
      <c r="O13" s="68" t="s">
        <v>297</v>
      </c>
      <c r="P13" s="67" t="s">
        <v>296</v>
      </c>
      <c r="Q13" s="68" t="s">
        <v>297</v>
      </c>
      <c r="R13" s="67" t="s">
        <v>296</v>
      </c>
      <c r="S13" s="68" t="s">
        <v>297</v>
      </c>
      <c r="T13" s="67" t="s">
        <v>296</v>
      </c>
      <c r="U13" s="68" t="s">
        <v>297</v>
      </c>
      <c r="V13" s="67" t="s">
        <v>296</v>
      </c>
      <c r="W13" s="68" t="s">
        <v>297</v>
      </c>
      <c r="X13" s="67" t="s">
        <v>296</v>
      </c>
      <c r="Y13" s="68" t="s">
        <v>297</v>
      </c>
      <c r="Z13" s="67" t="s">
        <v>296</v>
      </c>
      <c r="AA13" s="68" t="s">
        <v>297</v>
      </c>
      <c r="AB13" s="67" t="s">
        <v>296</v>
      </c>
      <c r="AC13" s="68" t="s">
        <v>297</v>
      </c>
      <c r="AD13" s="67" t="s">
        <v>296</v>
      </c>
      <c r="AE13" s="68" t="s">
        <v>297</v>
      </c>
      <c r="AF13" s="67" t="s">
        <v>296</v>
      </c>
      <c r="AG13" s="68" t="s">
        <v>297</v>
      </c>
      <c r="AH13" s="67" t="s">
        <v>296</v>
      </c>
      <c r="AI13" s="68" t="s">
        <v>297</v>
      </c>
      <c r="AJ13" s="67" t="s">
        <v>296</v>
      </c>
      <c r="AK13" s="68" t="s">
        <v>297</v>
      </c>
      <c r="AL13" s="67" t="s">
        <v>296</v>
      </c>
      <c r="AM13" s="68" t="s">
        <v>297</v>
      </c>
      <c r="AN13" s="67" t="s">
        <v>296</v>
      </c>
      <c r="AO13" s="68" t="s">
        <v>297</v>
      </c>
      <c r="AP13" s="67" t="s">
        <v>296</v>
      </c>
      <c r="AQ13" s="68" t="s">
        <v>297</v>
      </c>
      <c r="AR13" s="67" t="s">
        <v>296</v>
      </c>
      <c r="AS13" s="68" t="s">
        <v>297</v>
      </c>
      <c r="AT13" s="67" t="s">
        <v>296</v>
      </c>
      <c r="AU13" s="68" t="s">
        <v>297</v>
      </c>
      <c r="AV13" s="67" t="s">
        <v>296</v>
      </c>
      <c r="AW13" s="68" t="s">
        <v>297</v>
      </c>
      <c r="AX13" s="67" t="s">
        <v>296</v>
      </c>
      <c r="AY13" s="68" t="s">
        <v>297</v>
      </c>
      <c r="AZ13" s="67" t="s">
        <v>296</v>
      </c>
      <c r="BA13" s="68" t="s">
        <v>297</v>
      </c>
      <c r="BB13" s="67" t="s">
        <v>296</v>
      </c>
      <c r="BC13" s="68" t="s">
        <v>297</v>
      </c>
      <c r="BD13" s="67" t="s">
        <v>296</v>
      </c>
      <c r="BE13" s="68" t="s">
        <v>297</v>
      </c>
      <c r="BF13" s="67" t="s">
        <v>296</v>
      </c>
      <c r="BG13" s="68" t="s">
        <v>297</v>
      </c>
      <c r="BH13" s="67" t="s">
        <v>296</v>
      </c>
      <c r="BI13" s="68" t="s">
        <v>297</v>
      </c>
      <c r="BJ13" s="67" t="s">
        <v>296</v>
      </c>
      <c r="BK13" s="68" t="s">
        <v>297</v>
      </c>
      <c r="BL13" s="67" t="s">
        <v>296</v>
      </c>
      <c r="BM13" s="68" t="s">
        <v>297</v>
      </c>
      <c r="BN13" s="67" t="s">
        <v>296</v>
      </c>
      <c r="BO13" s="68" t="s">
        <v>297</v>
      </c>
      <c r="BP13" s="84" t="s">
        <v>280</v>
      </c>
      <c r="BQ13" s="85" t="s">
        <v>281</v>
      </c>
    </row>
    <row r="14" spans="1:69" x14ac:dyDescent="0.25">
      <c r="A14" s="30" t="s">
        <v>225</v>
      </c>
      <c r="B14" s="10"/>
      <c r="C14" s="10"/>
      <c r="D14" s="10"/>
      <c r="E14" s="10"/>
      <c r="F14" s="10"/>
      <c r="G14" s="10"/>
      <c r="H14" s="10">
        <v>27574</v>
      </c>
      <c r="I14" s="10">
        <v>68285</v>
      </c>
      <c r="J14" s="10">
        <v>16143</v>
      </c>
      <c r="K14" s="10">
        <v>42627</v>
      </c>
      <c r="L14" s="10">
        <v>12772</v>
      </c>
      <c r="M14" s="10">
        <v>28133</v>
      </c>
      <c r="N14" s="10"/>
      <c r="O14" s="10"/>
      <c r="P14" s="10">
        <v>1251</v>
      </c>
      <c r="Q14" s="10">
        <v>1653</v>
      </c>
      <c r="R14" s="10">
        <v>19473</v>
      </c>
      <c r="S14" s="10">
        <v>42707</v>
      </c>
      <c r="T14" s="10">
        <v>18</v>
      </c>
      <c r="U14" s="10">
        <v>28</v>
      </c>
      <c r="V14" s="10">
        <v>29644</v>
      </c>
      <c r="W14" s="10">
        <v>68148</v>
      </c>
      <c r="X14" s="10"/>
      <c r="Y14" s="10"/>
      <c r="Z14" s="10">
        <v>80240</v>
      </c>
      <c r="AA14" s="10">
        <v>201456</v>
      </c>
      <c r="AB14" s="10">
        <v>37840</v>
      </c>
      <c r="AC14" s="10">
        <v>75111</v>
      </c>
      <c r="AD14" s="10"/>
      <c r="AE14" s="10"/>
      <c r="AF14" s="10">
        <v>10005</v>
      </c>
      <c r="AG14" s="10">
        <v>20308</v>
      </c>
      <c r="AH14" s="10">
        <v>1956</v>
      </c>
      <c r="AI14" s="10">
        <v>5328</v>
      </c>
      <c r="AJ14" s="92"/>
      <c r="AK14" s="10"/>
      <c r="AL14" s="10"/>
      <c r="AM14" s="10"/>
      <c r="AN14" s="10">
        <v>44814.80999999999</v>
      </c>
      <c r="AO14" s="10">
        <v>88648.402999999991</v>
      </c>
      <c r="AP14" s="10"/>
      <c r="AQ14" s="10"/>
      <c r="AR14" s="10">
        <v>592</v>
      </c>
      <c r="AS14" s="10">
        <v>718</v>
      </c>
      <c r="AT14" s="10">
        <v>17235</v>
      </c>
      <c r="AU14" s="10">
        <v>48632</v>
      </c>
      <c r="AV14" s="10"/>
      <c r="AW14" s="10"/>
      <c r="AX14" s="10">
        <v>12869</v>
      </c>
      <c r="AY14" s="10">
        <v>24619</v>
      </c>
      <c r="AZ14" s="10">
        <v>10675</v>
      </c>
      <c r="BA14" s="10">
        <v>24696</v>
      </c>
      <c r="BB14" s="10">
        <v>428</v>
      </c>
      <c r="BC14" s="10">
        <v>709</v>
      </c>
      <c r="BD14" s="10"/>
      <c r="BE14" s="10"/>
      <c r="BF14" s="10">
        <v>118657</v>
      </c>
      <c r="BG14" s="10">
        <v>246811</v>
      </c>
      <c r="BH14" s="10">
        <v>124903</v>
      </c>
      <c r="BI14" s="10">
        <v>302359</v>
      </c>
      <c r="BJ14" s="10">
        <v>79260</v>
      </c>
      <c r="BK14" s="10">
        <v>144396</v>
      </c>
      <c r="BL14" s="108">
        <v>60701</v>
      </c>
      <c r="BM14" s="108">
        <v>121941</v>
      </c>
      <c r="BN14" s="10">
        <v>1530</v>
      </c>
      <c r="BO14" s="10">
        <v>4401</v>
      </c>
      <c r="BP14" s="88">
        <f t="shared" ref="BP14:BP17" si="2">SUM(B14+D14+F14+H14+J14+L14+N14+P14+R14+T14+V14+X14+Z14+AB14+AD14+AF14+AH14+AJ14+AL14+AN14+AP14+AR14+AT14+AV14+AX14+AZ14+BB14+BD14+BF14+BH14+BJ14+BL14+BN14)</f>
        <v>708580.81</v>
      </c>
      <c r="BQ14" s="88">
        <f t="shared" ref="BQ14:BQ17" si="3">SUM(C14+E14+G14+I14+K14+M14+O14+Q14+S14+U14+W14+Y14+AA14+AC14+AE14+AG14+AI14+AK14+AM14+AO14+AQ14+AS14+AU14+AW14+AY14+BA14+BC14+BE14+BG14+BI14+BK14+BM14+BO14)</f>
        <v>1561714.4029999999</v>
      </c>
    </row>
    <row r="15" spans="1:69" x14ac:dyDescent="0.25">
      <c r="A15" s="30" t="s">
        <v>276</v>
      </c>
      <c r="B15" s="10"/>
      <c r="C15" s="10"/>
      <c r="D15" s="10"/>
      <c r="E15" s="10"/>
      <c r="F15" s="10"/>
      <c r="G15" s="10"/>
      <c r="H15" s="10"/>
      <c r="I15" s="10"/>
      <c r="J15" s="10">
        <v>376</v>
      </c>
      <c r="K15" s="10">
        <v>893</v>
      </c>
      <c r="L15" s="10"/>
      <c r="M15" s="10"/>
      <c r="N15" s="10"/>
      <c r="O15" s="10"/>
      <c r="P15" s="10"/>
      <c r="Q15" s="10">
        <v>22</v>
      </c>
      <c r="R15" s="10">
        <v>34</v>
      </c>
      <c r="S15" s="10">
        <v>1251</v>
      </c>
      <c r="T15" s="10">
        <v>135</v>
      </c>
      <c r="U15" s="10">
        <v>472</v>
      </c>
      <c r="V15" s="10">
        <v>814</v>
      </c>
      <c r="W15" s="10">
        <v>2004</v>
      </c>
      <c r="X15" s="10"/>
      <c r="Y15" s="10"/>
      <c r="Z15" s="10">
        <v>4832</v>
      </c>
      <c r="AA15" s="10">
        <v>13394</v>
      </c>
      <c r="AB15" s="10">
        <v>242</v>
      </c>
      <c r="AC15" s="10">
        <v>399</v>
      </c>
      <c r="AD15" s="10"/>
      <c r="AE15" s="10"/>
      <c r="AF15" s="10"/>
      <c r="AG15" s="10"/>
      <c r="AH15" s="10">
        <v>2349</v>
      </c>
      <c r="AI15" s="10">
        <v>2349</v>
      </c>
      <c r="AJ15" s="92"/>
      <c r="AK15" s="10"/>
      <c r="AL15" s="10"/>
      <c r="AM15" s="10"/>
      <c r="AN15" s="10">
        <v>1437.4280000000003</v>
      </c>
      <c r="AO15" s="10">
        <v>7308.4970000000003</v>
      </c>
      <c r="AP15" s="10"/>
      <c r="AQ15" s="10"/>
      <c r="AR15" s="10"/>
      <c r="AS15" s="10"/>
      <c r="AT15" s="10">
        <v>4</v>
      </c>
      <c r="AU15" s="10">
        <v>4</v>
      </c>
      <c r="AV15" s="10"/>
      <c r="AW15" s="10"/>
      <c r="AX15" s="10">
        <v>26</v>
      </c>
      <c r="AY15" s="10">
        <v>70</v>
      </c>
      <c r="AZ15" s="10">
        <v>240</v>
      </c>
      <c r="BA15" s="10">
        <v>411</v>
      </c>
      <c r="BB15" s="10"/>
      <c r="BC15" s="10"/>
      <c r="BD15" s="10"/>
      <c r="BE15" s="10"/>
      <c r="BF15" s="10">
        <v>8434</v>
      </c>
      <c r="BG15" s="10">
        <v>16176</v>
      </c>
      <c r="BH15" s="10">
        <v>33679</v>
      </c>
      <c r="BI15" s="10">
        <v>44850</v>
      </c>
      <c r="BJ15" s="10">
        <v>3876</v>
      </c>
      <c r="BK15" s="10">
        <v>7868</v>
      </c>
      <c r="BL15" s="108">
        <v>2659</v>
      </c>
      <c r="BM15" s="108">
        <v>2913</v>
      </c>
      <c r="BN15" s="10"/>
      <c r="BO15" s="10"/>
      <c r="BP15" s="88">
        <f t="shared" si="2"/>
        <v>59137.428</v>
      </c>
      <c r="BQ15" s="88">
        <f t="shared" si="3"/>
        <v>100384.497</v>
      </c>
    </row>
    <row r="16" spans="1:69" x14ac:dyDescent="0.25">
      <c r="A16" s="30" t="s">
        <v>277</v>
      </c>
      <c r="B16" s="10"/>
      <c r="C16" s="10"/>
      <c r="D16" s="10"/>
      <c r="E16" s="10"/>
      <c r="F16" s="10"/>
      <c r="G16" s="10"/>
      <c r="H16" s="10">
        <v>12965</v>
      </c>
      <c r="I16" s="10">
        <v>29962</v>
      </c>
      <c r="J16" s="10">
        <v>4802</v>
      </c>
      <c r="K16" s="10">
        <v>11101</v>
      </c>
      <c r="L16" s="10">
        <v>20887</v>
      </c>
      <c r="M16" s="10">
        <v>39384</v>
      </c>
      <c r="N16" s="10"/>
      <c r="O16" s="10"/>
      <c r="P16" s="10">
        <v>1086</v>
      </c>
      <c r="Q16" s="10">
        <v>1717</v>
      </c>
      <c r="R16" s="10">
        <v>1754</v>
      </c>
      <c r="S16" s="10">
        <v>6115</v>
      </c>
      <c r="T16" s="10">
        <v>-5</v>
      </c>
      <c r="U16" s="10">
        <v>76</v>
      </c>
      <c r="V16" s="10">
        <f>-756-7573</f>
        <v>-8329</v>
      </c>
      <c r="W16" s="10">
        <f>-3689-17228</f>
        <v>-20917</v>
      </c>
      <c r="X16" s="10"/>
      <c r="Y16" s="10"/>
      <c r="Z16" s="10">
        <v>14890</v>
      </c>
      <c r="AA16" s="10">
        <v>35444</v>
      </c>
      <c r="AB16" s="10">
        <v>16278</v>
      </c>
      <c r="AC16" s="10">
        <v>41916</v>
      </c>
      <c r="AD16" s="10"/>
      <c r="AE16" s="10"/>
      <c r="AF16" s="10">
        <v>502</v>
      </c>
      <c r="AG16" s="10">
        <v>1021</v>
      </c>
      <c r="AH16" s="10">
        <v>-7746</v>
      </c>
      <c r="AI16" s="10">
        <v>-13578</v>
      </c>
      <c r="AJ16" s="92"/>
      <c r="AK16" s="10"/>
      <c r="AL16" s="10"/>
      <c r="AM16" s="10"/>
      <c r="AN16" s="10">
        <v>24645.720999999998</v>
      </c>
      <c r="AO16" s="10">
        <v>44757.665000000001</v>
      </c>
      <c r="AP16" s="10"/>
      <c r="AQ16" s="10"/>
      <c r="AR16" s="10">
        <v>15</v>
      </c>
      <c r="AS16" s="10">
        <v>21</v>
      </c>
      <c r="AT16" s="10">
        <v>18304</v>
      </c>
      <c r="AU16" s="10">
        <v>62851</v>
      </c>
      <c r="AV16" s="10"/>
      <c r="AW16" s="10"/>
      <c r="AX16" s="10">
        <v>-9719</v>
      </c>
      <c r="AY16" s="10">
        <v>-18879</v>
      </c>
      <c r="AZ16" s="10">
        <v>544</v>
      </c>
      <c r="BA16" s="10">
        <v>1391</v>
      </c>
      <c r="BB16" s="10">
        <v>57</v>
      </c>
      <c r="BC16" s="10">
        <v>83</v>
      </c>
      <c r="BD16" s="10"/>
      <c r="BE16" s="10"/>
      <c r="BF16" s="10">
        <v>18140</v>
      </c>
      <c r="BG16" s="10">
        <v>31538</v>
      </c>
      <c r="BH16" s="10">
        <v>36094</v>
      </c>
      <c r="BI16" s="10">
        <v>82651</v>
      </c>
      <c r="BJ16" s="10">
        <v>34733</v>
      </c>
      <c r="BK16" s="10">
        <v>67108</v>
      </c>
      <c r="BL16" s="108">
        <v>8802</v>
      </c>
      <c r="BM16" s="108">
        <v>29480</v>
      </c>
      <c r="BN16" s="10">
        <f>3941+1483</f>
        <v>5424</v>
      </c>
      <c r="BO16" s="10">
        <f>6978+6250</f>
        <v>13228</v>
      </c>
      <c r="BP16" s="88">
        <f t="shared" si="2"/>
        <v>194123.72099999999</v>
      </c>
      <c r="BQ16" s="88">
        <f t="shared" si="3"/>
        <v>446470.66500000004</v>
      </c>
    </row>
    <row r="17" spans="1:69" x14ac:dyDescent="0.25">
      <c r="A17" s="30" t="s">
        <v>226</v>
      </c>
      <c r="B17" s="10"/>
      <c r="C17" s="10"/>
      <c r="D17" s="10"/>
      <c r="E17" s="10"/>
      <c r="F17" s="10"/>
      <c r="G17" s="10"/>
      <c r="H17" s="10">
        <v>14609</v>
      </c>
      <c r="I17" s="10">
        <v>38323</v>
      </c>
      <c r="J17" s="10">
        <v>11717</v>
      </c>
      <c r="K17" s="10">
        <v>32419</v>
      </c>
      <c r="L17" s="10">
        <v>-8115</v>
      </c>
      <c r="M17" s="10">
        <v>-11251</v>
      </c>
      <c r="N17" s="10"/>
      <c r="O17" s="10"/>
      <c r="P17" s="10">
        <v>165</v>
      </c>
      <c r="Q17" s="10">
        <v>-42</v>
      </c>
      <c r="R17" s="10">
        <v>17753</v>
      </c>
      <c r="S17" s="10">
        <v>37843</v>
      </c>
      <c r="T17" s="10">
        <v>159</v>
      </c>
      <c r="U17" s="10">
        <v>424</v>
      </c>
      <c r="V17" s="10">
        <f>-756+22884</f>
        <v>22128</v>
      </c>
      <c r="W17" s="10">
        <f>-3689-52924</f>
        <v>-56613</v>
      </c>
      <c r="X17" s="10"/>
      <c r="Y17" s="10"/>
      <c r="Z17" s="10">
        <v>70182</v>
      </c>
      <c r="AA17" s="10">
        <v>179406</v>
      </c>
      <c r="AB17" s="10">
        <v>21804</v>
      </c>
      <c r="AC17" s="10">
        <v>33594</v>
      </c>
      <c r="AD17" s="10"/>
      <c r="AE17" s="10"/>
      <c r="AF17" s="10">
        <v>9503</v>
      </c>
      <c r="AG17" s="10">
        <v>19287</v>
      </c>
      <c r="AH17" s="10">
        <v>-3441</v>
      </c>
      <c r="AI17" s="10">
        <v>-5901</v>
      </c>
      <c r="AJ17" s="92"/>
      <c r="AK17" s="10"/>
      <c r="AL17" s="10"/>
      <c r="AM17" s="10"/>
      <c r="AN17" s="10">
        <v>21606.516999999993</v>
      </c>
      <c r="AO17" s="10">
        <v>51198.234999999993</v>
      </c>
      <c r="AP17" s="10"/>
      <c r="AQ17" s="10"/>
      <c r="AR17" s="10">
        <v>577</v>
      </c>
      <c r="AS17" s="10">
        <v>698</v>
      </c>
      <c r="AT17" s="10">
        <v>-1065</v>
      </c>
      <c r="AU17" s="10">
        <v>-14215</v>
      </c>
      <c r="AV17" s="10"/>
      <c r="AW17" s="10"/>
      <c r="AX17" s="10">
        <v>3176</v>
      </c>
      <c r="AY17" s="10">
        <v>5810</v>
      </c>
      <c r="AZ17" s="10">
        <v>10371</v>
      </c>
      <c r="BA17" s="10">
        <v>23716</v>
      </c>
      <c r="BB17" s="10">
        <v>372</v>
      </c>
      <c r="BC17" s="10">
        <v>626</v>
      </c>
      <c r="BD17" s="10"/>
      <c r="BE17" s="10"/>
      <c r="BF17" s="10">
        <v>108951</v>
      </c>
      <c r="BG17" s="10">
        <v>231449</v>
      </c>
      <c r="BH17" s="10">
        <v>122488</v>
      </c>
      <c r="BI17" s="10">
        <v>264558</v>
      </c>
      <c r="BJ17" s="10">
        <v>48403</v>
      </c>
      <c r="BK17" s="10">
        <v>85156</v>
      </c>
      <c r="BL17" s="108">
        <v>54558</v>
      </c>
      <c r="BM17" s="108">
        <v>95374</v>
      </c>
      <c r="BN17" s="10">
        <f>-3941+47</f>
        <v>-3894</v>
      </c>
      <c r="BO17" s="10">
        <f>-6978-1849</f>
        <v>-8827</v>
      </c>
      <c r="BP17" s="88">
        <f t="shared" si="2"/>
        <v>522007.51699999999</v>
      </c>
      <c r="BQ17" s="88">
        <f t="shared" si="3"/>
        <v>1003032.235</v>
      </c>
    </row>
    <row r="18" spans="1:69" x14ac:dyDescent="0.25">
      <c r="A18" s="28"/>
    </row>
    <row r="19" spans="1:69" x14ac:dyDescent="0.25">
      <c r="A19" s="29" t="s">
        <v>218</v>
      </c>
    </row>
    <row r="20" spans="1:69" x14ac:dyDescent="0.25">
      <c r="A20" s="3" t="s">
        <v>0</v>
      </c>
      <c r="B20" s="116" t="s">
        <v>1</v>
      </c>
      <c r="C20" s="117"/>
      <c r="D20" s="116" t="s">
        <v>285</v>
      </c>
      <c r="E20" s="117"/>
      <c r="F20" s="116" t="s">
        <v>2</v>
      </c>
      <c r="G20" s="117"/>
      <c r="H20" s="116" t="s">
        <v>3</v>
      </c>
      <c r="I20" s="117"/>
      <c r="J20" s="116" t="s">
        <v>4</v>
      </c>
      <c r="K20" s="117"/>
      <c r="L20" s="116" t="s">
        <v>286</v>
      </c>
      <c r="M20" s="117"/>
      <c r="N20" s="116" t="s">
        <v>6</v>
      </c>
      <c r="O20" s="117"/>
      <c r="P20" s="116" t="s">
        <v>5</v>
      </c>
      <c r="Q20" s="117"/>
      <c r="R20" s="116" t="s">
        <v>7</v>
      </c>
      <c r="S20" s="117"/>
      <c r="T20" s="116" t="s">
        <v>287</v>
      </c>
      <c r="U20" s="117"/>
      <c r="V20" s="116" t="s">
        <v>8</v>
      </c>
      <c r="W20" s="117"/>
      <c r="X20" s="116" t="s">
        <v>288</v>
      </c>
      <c r="Y20" s="117"/>
      <c r="Z20" s="116" t="s">
        <v>9</v>
      </c>
      <c r="AA20" s="117"/>
      <c r="AB20" s="116" t="s">
        <v>10</v>
      </c>
      <c r="AC20" s="117"/>
      <c r="AD20" s="116" t="s">
        <v>289</v>
      </c>
      <c r="AE20" s="117"/>
      <c r="AF20" s="116" t="s">
        <v>11</v>
      </c>
      <c r="AG20" s="117"/>
      <c r="AH20" s="116" t="s">
        <v>12</v>
      </c>
      <c r="AI20" s="117"/>
      <c r="AJ20" s="116" t="s">
        <v>290</v>
      </c>
      <c r="AK20" s="117"/>
      <c r="AL20" s="116" t="s">
        <v>299</v>
      </c>
      <c r="AM20" s="117"/>
      <c r="AN20" s="116" t="s">
        <v>13</v>
      </c>
      <c r="AO20" s="117"/>
      <c r="AP20" s="116" t="s">
        <v>291</v>
      </c>
      <c r="AQ20" s="117"/>
      <c r="AR20" s="116" t="s">
        <v>292</v>
      </c>
      <c r="AS20" s="117"/>
      <c r="AT20" s="116" t="s">
        <v>307</v>
      </c>
      <c r="AU20" s="117"/>
      <c r="AV20" s="116" t="s">
        <v>293</v>
      </c>
      <c r="AW20" s="117"/>
      <c r="AX20" s="116" t="s">
        <v>14</v>
      </c>
      <c r="AY20" s="117"/>
      <c r="AZ20" s="116" t="s">
        <v>15</v>
      </c>
      <c r="BA20" s="117"/>
      <c r="BB20" s="116" t="s">
        <v>16</v>
      </c>
      <c r="BC20" s="117"/>
      <c r="BD20" s="116" t="s">
        <v>17</v>
      </c>
      <c r="BE20" s="117"/>
      <c r="BF20" s="116" t="s">
        <v>18</v>
      </c>
      <c r="BG20" s="117"/>
      <c r="BH20" s="116" t="s">
        <v>294</v>
      </c>
      <c r="BI20" s="117"/>
      <c r="BJ20" s="116" t="s">
        <v>295</v>
      </c>
      <c r="BK20" s="117"/>
      <c r="BL20" s="116" t="s">
        <v>19</v>
      </c>
      <c r="BM20" s="117"/>
      <c r="BN20" s="116" t="s">
        <v>20</v>
      </c>
      <c r="BO20" s="117"/>
      <c r="BP20" s="118" t="s">
        <v>21</v>
      </c>
      <c r="BQ20" s="119"/>
    </row>
    <row r="21" spans="1:69" ht="30" x14ac:dyDescent="0.25">
      <c r="A21" s="3"/>
      <c r="B21" s="67" t="s">
        <v>296</v>
      </c>
      <c r="C21" s="68" t="s">
        <v>297</v>
      </c>
      <c r="D21" s="67" t="s">
        <v>296</v>
      </c>
      <c r="E21" s="68" t="s">
        <v>297</v>
      </c>
      <c r="F21" s="67" t="s">
        <v>296</v>
      </c>
      <c r="G21" s="68" t="s">
        <v>297</v>
      </c>
      <c r="H21" s="67" t="s">
        <v>296</v>
      </c>
      <c r="I21" s="68" t="s">
        <v>297</v>
      </c>
      <c r="J21" s="67" t="s">
        <v>296</v>
      </c>
      <c r="K21" s="68" t="s">
        <v>297</v>
      </c>
      <c r="L21" s="67" t="s">
        <v>296</v>
      </c>
      <c r="M21" s="68" t="s">
        <v>297</v>
      </c>
      <c r="N21" s="67" t="s">
        <v>296</v>
      </c>
      <c r="O21" s="68" t="s">
        <v>297</v>
      </c>
      <c r="P21" s="67" t="s">
        <v>296</v>
      </c>
      <c r="Q21" s="68" t="s">
        <v>297</v>
      </c>
      <c r="R21" s="67" t="s">
        <v>296</v>
      </c>
      <c r="S21" s="68" t="s">
        <v>297</v>
      </c>
      <c r="T21" s="67" t="s">
        <v>296</v>
      </c>
      <c r="U21" s="68" t="s">
        <v>297</v>
      </c>
      <c r="V21" s="67" t="s">
        <v>296</v>
      </c>
      <c r="W21" s="68" t="s">
        <v>297</v>
      </c>
      <c r="X21" s="67" t="s">
        <v>296</v>
      </c>
      <c r="Y21" s="68" t="s">
        <v>297</v>
      </c>
      <c r="Z21" s="67" t="s">
        <v>296</v>
      </c>
      <c r="AA21" s="68" t="s">
        <v>297</v>
      </c>
      <c r="AB21" s="67" t="s">
        <v>296</v>
      </c>
      <c r="AC21" s="68" t="s">
        <v>297</v>
      </c>
      <c r="AD21" s="67" t="s">
        <v>296</v>
      </c>
      <c r="AE21" s="68" t="s">
        <v>297</v>
      </c>
      <c r="AF21" s="67" t="s">
        <v>296</v>
      </c>
      <c r="AG21" s="68" t="s">
        <v>297</v>
      </c>
      <c r="AH21" s="67" t="s">
        <v>296</v>
      </c>
      <c r="AI21" s="68" t="s">
        <v>297</v>
      </c>
      <c r="AJ21" s="67" t="s">
        <v>296</v>
      </c>
      <c r="AK21" s="68" t="s">
        <v>297</v>
      </c>
      <c r="AL21" s="67" t="s">
        <v>296</v>
      </c>
      <c r="AM21" s="68" t="s">
        <v>297</v>
      </c>
      <c r="AN21" s="67" t="s">
        <v>296</v>
      </c>
      <c r="AO21" s="68" t="s">
        <v>297</v>
      </c>
      <c r="AP21" s="67" t="s">
        <v>296</v>
      </c>
      <c r="AQ21" s="68" t="s">
        <v>297</v>
      </c>
      <c r="AR21" s="67" t="s">
        <v>296</v>
      </c>
      <c r="AS21" s="68" t="s">
        <v>297</v>
      </c>
      <c r="AT21" s="67" t="s">
        <v>296</v>
      </c>
      <c r="AU21" s="68" t="s">
        <v>297</v>
      </c>
      <c r="AV21" s="67" t="s">
        <v>296</v>
      </c>
      <c r="AW21" s="68" t="s">
        <v>297</v>
      </c>
      <c r="AX21" s="67" t="s">
        <v>296</v>
      </c>
      <c r="AY21" s="68" t="s">
        <v>297</v>
      </c>
      <c r="AZ21" s="67" t="s">
        <v>296</v>
      </c>
      <c r="BA21" s="68" t="s">
        <v>297</v>
      </c>
      <c r="BB21" s="67" t="s">
        <v>296</v>
      </c>
      <c r="BC21" s="68" t="s">
        <v>297</v>
      </c>
      <c r="BD21" s="67" t="s">
        <v>296</v>
      </c>
      <c r="BE21" s="68" t="s">
        <v>297</v>
      </c>
      <c r="BF21" s="67" t="s">
        <v>296</v>
      </c>
      <c r="BG21" s="68" t="s">
        <v>297</v>
      </c>
      <c r="BH21" s="67" t="s">
        <v>296</v>
      </c>
      <c r="BI21" s="68" t="s">
        <v>297</v>
      </c>
      <c r="BJ21" s="67" t="s">
        <v>296</v>
      </c>
      <c r="BK21" s="68" t="s">
        <v>297</v>
      </c>
      <c r="BL21" s="67" t="s">
        <v>296</v>
      </c>
      <c r="BM21" s="68" t="s">
        <v>297</v>
      </c>
      <c r="BN21" s="67" t="s">
        <v>296</v>
      </c>
      <c r="BO21" s="68" t="s">
        <v>297</v>
      </c>
      <c r="BP21" s="84" t="s">
        <v>280</v>
      </c>
      <c r="BQ21" s="85" t="s">
        <v>281</v>
      </c>
    </row>
    <row r="22" spans="1:69" x14ac:dyDescent="0.25">
      <c r="A22" s="30" t="s">
        <v>225</v>
      </c>
      <c r="B22" s="10">
        <v>12509</v>
      </c>
      <c r="C22" s="10">
        <v>15073</v>
      </c>
      <c r="D22" s="10"/>
      <c r="E22" s="10"/>
      <c r="F22" s="10"/>
      <c r="G22" s="10"/>
      <c r="H22" s="10">
        <v>819800</v>
      </c>
      <c r="I22" s="10">
        <v>1433315</v>
      </c>
      <c r="J22" s="10">
        <v>334032</v>
      </c>
      <c r="K22" s="10">
        <v>544902</v>
      </c>
      <c r="L22" s="10">
        <v>507087</v>
      </c>
      <c r="M22" s="10">
        <v>857967</v>
      </c>
      <c r="N22" s="10"/>
      <c r="O22" s="10"/>
      <c r="P22" s="10">
        <v>20165</v>
      </c>
      <c r="Q22" s="10">
        <v>41917</v>
      </c>
      <c r="R22" s="10">
        <v>276803</v>
      </c>
      <c r="S22" s="10">
        <v>466853</v>
      </c>
      <c r="T22" s="10">
        <v>197946</v>
      </c>
      <c r="U22" s="10">
        <v>294056</v>
      </c>
      <c r="V22" s="10">
        <f>55781+620169</f>
        <v>675950</v>
      </c>
      <c r="W22" s="10">
        <f>109799+1060335</f>
        <v>1170134</v>
      </c>
      <c r="X22" s="10"/>
      <c r="Y22" s="10"/>
      <c r="Z22" s="10">
        <v>1698406</v>
      </c>
      <c r="AA22" s="10">
        <v>2873627</v>
      </c>
      <c r="AB22" s="10">
        <v>907264</v>
      </c>
      <c r="AC22" s="10">
        <v>1554760</v>
      </c>
      <c r="AD22" s="10">
        <v>54978</v>
      </c>
      <c r="AE22" s="10">
        <v>99520</v>
      </c>
      <c r="AF22" s="10">
        <f>2242+237570</f>
        <v>239812</v>
      </c>
      <c r="AG22" s="10">
        <f>4590+410904</f>
        <v>415494</v>
      </c>
      <c r="AH22" s="10">
        <v>143876</v>
      </c>
      <c r="AI22" s="10">
        <v>239305</v>
      </c>
      <c r="AJ22" s="92"/>
      <c r="AK22" s="10"/>
      <c r="AL22" s="10"/>
      <c r="AM22" s="10"/>
      <c r="AN22" s="10">
        <v>969086.10499999998</v>
      </c>
      <c r="AO22" s="10">
        <v>1653847.1540000001</v>
      </c>
      <c r="AP22" s="10">
        <v>6482</v>
      </c>
      <c r="AQ22" s="10">
        <v>9361</v>
      </c>
      <c r="AR22" s="10">
        <f>1687+37627</f>
        <v>39314</v>
      </c>
      <c r="AS22" s="10">
        <f>2732+53812</f>
        <v>56544</v>
      </c>
      <c r="AT22" s="10">
        <v>608553</v>
      </c>
      <c r="AU22" s="10">
        <v>1032317</v>
      </c>
      <c r="AV22" s="10"/>
      <c r="AW22" s="10"/>
      <c r="AX22" s="10">
        <v>454370</v>
      </c>
      <c r="AY22" s="10">
        <v>844924</v>
      </c>
      <c r="AZ22" s="10">
        <v>352229</v>
      </c>
      <c r="BA22" s="10">
        <v>576161</v>
      </c>
      <c r="BB22" s="10">
        <v>303918</v>
      </c>
      <c r="BC22" s="10">
        <v>538267</v>
      </c>
      <c r="BD22" s="10"/>
      <c r="BE22" s="10"/>
      <c r="BF22" s="10">
        <v>941430</v>
      </c>
      <c r="BG22" s="10">
        <v>1646519</v>
      </c>
      <c r="BH22" s="10">
        <v>2450430</v>
      </c>
      <c r="BI22" s="10">
        <v>4706543</v>
      </c>
      <c r="BJ22" s="10">
        <v>689780</v>
      </c>
      <c r="BK22" s="10">
        <v>1097569</v>
      </c>
      <c r="BL22" s="108">
        <v>998432</v>
      </c>
      <c r="BM22" s="108">
        <v>1793894</v>
      </c>
      <c r="BN22" s="10">
        <f>201671+2680</f>
        <v>204351</v>
      </c>
      <c r="BO22" s="10">
        <f>4503+377323</f>
        <v>381826</v>
      </c>
      <c r="BP22" s="88">
        <f t="shared" ref="BP22:BP25" si="4">SUM(B22+D22+F22+H22+J22+L22+N22+P22+R22+T22+V22+X22+Z22+AB22+AD22+AF22+AH22+AJ22+AL22+AN22+AP22+AR22+AT22+AV22+AX22+AZ22+BB22+BD22+BF22+BH22+BJ22+BL22+BN22)</f>
        <v>13907003.105</v>
      </c>
      <c r="BQ22" s="88">
        <f t="shared" ref="BQ22:BQ25" si="5">SUM(C22+E22+G22+I22+K22+M22+O22+Q22+S22+U22+W22+Y22+AA22+AC22+AE22+AG22+AI22+AK22+AM22+AO22+AQ22+AS22+AU22+AW22+AY22+BA22+BC22+BE22+BG22+BI22+BK22+BM22+BO22)</f>
        <v>24344695.153999999</v>
      </c>
    </row>
    <row r="23" spans="1:69" x14ac:dyDescent="0.25">
      <c r="A23" s="30" t="s">
        <v>276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>
        <v>53892</v>
      </c>
      <c r="U23" s="10">
        <v>66168</v>
      </c>
      <c r="V23" s="10">
        <v>0</v>
      </c>
      <c r="W23" s="10">
        <v>0</v>
      </c>
      <c r="X23" s="10"/>
      <c r="Y23" s="10"/>
      <c r="Z23" s="10">
        <v>48905</v>
      </c>
      <c r="AA23" s="10">
        <v>54787</v>
      </c>
      <c r="AB23" s="10"/>
      <c r="AC23" s="10"/>
      <c r="AD23" s="10"/>
      <c r="AE23" s="10"/>
      <c r="AF23" s="10"/>
      <c r="AG23" s="10"/>
      <c r="AH23" s="10"/>
      <c r="AI23" s="10"/>
      <c r="AJ23" s="92"/>
      <c r="AK23" s="10"/>
      <c r="AL23" s="10"/>
      <c r="AM23" s="10"/>
      <c r="AN23" s="10">
        <v>1.3000000000000012E-2</v>
      </c>
      <c r="AO23" s="10">
        <v>15.363</v>
      </c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>
        <v>2341</v>
      </c>
      <c r="BI23" s="10">
        <v>3279</v>
      </c>
      <c r="BJ23" s="10">
        <v>2</v>
      </c>
      <c r="BK23" s="10">
        <v>16</v>
      </c>
      <c r="BL23" s="108">
        <v>0</v>
      </c>
      <c r="BM23" s="108">
        <v>0</v>
      </c>
      <c r="BN23" s="10"/>
      <c r="BO23" s="10"/>
      <c r="BP23" s="88">
        <f t="shared" si="4"/>
        <v>105140.01300000001</v>
      </c>
      <c r="BQ23" s="88">
        <f t="shared" si="5"/>
        <v>124265.363</v>
      </c>
    </row>
    <row r="24" spans="1:69" x14ac:dyDescent="0.25">
      <c r="A24" s="30" t="s">
        <v>277</v>
      </c>
      <c r="B24" s="10">
        <v>51594</v>
      </c>
      <c r="C24" s="10">
        <v>84524</v>
      </c>
      <c r="D24" s="10"/>
      <c r="E24" s="10"/>
      <c r="F24" s="10"/>
      <c r="G24" s="10"/>
      <c r="H24" s="10">
        <v>226645</v>
      </c>
      <c r="I24" s="10">
        <v>732405</v>
      </c>
      <c r="J24" s="10">
        <v>16235</v>
      </c>
      <c r="K24" s="10">
        <v>27077</v>
      </c>
      <c r="L24" s="10">
        <v>454523</v>
      </c>
      <c r="M24" s="10">
        <v>729956</v>
      </c>
      <c r="N24" s="10"/>
      <c r="O24" s="10"/>
      <c r="P24" s="10">
        <v>1264</v>
      </c>
      <c r="Q24" s="10">
        <v>2262</v>
      </c>
      <c r="R24" s="10">
        <v>14993</v>
      </c>
      <c r="S24" s="10">
        <v>26594</v>
      </c>
      <c r="T24" s="10">
        <v>19724</v>
      </c>
      <c r="U24" s="10">
        <v>34421</v>
      </c>
      <c r="V24" s="10">
        <f>-446014-26443</f>
        <v>-472457</v>
      </c>
      <c r="W24" s="10">
        <f>-753244-45638</f>
        <v>-798882</v>
      </c>
      <c r="X24" s="10"/>
      <c r="Y24" s="10"/>
      <c r="Z24" s="10">
        <v>227933</v>
      </c>
      <c r="AA24" s="10">
        <v>610762</v>
      </c>
      <c r="AB24" s="10">
        <v>319653</v>
      </c>
      <c r="AC24" s="10">
        <v>513232</v>
      </c>
      <c r="AD24" s="10">
        <v>3352</v>
      </c>
      <c r="AE24" s="10">
        <v>5911</v>
      </c>
      <c r="AF24" s="10">
        <f>2318+9635</f>
        <v>11953</v>
      </c>
      <c r="AG24" s="10">
        <f>4023+15986</f>
        <v>20009</v>
      </c>
      <c r="AH24" s="10">
        <v>-305652</v>
      </c>
      <c r="AI24" s="10">
        <v>-488843</v>
      </c>
      <c r="AJ24" s="92"/>
      <c r="AK24" s="10"/>
      <c r="AL24" s="10"/>
      <c r="AM24" s="10"/>
      <c r="AN24" s="10">
        <v>21300.842999999993</v>
      </c>
      <c r="AO24" s="10">
        <v>104443.451</v>
      </c>
      <c r="AP24" s="10">
        <v>-627</v>
      </c>
      <c r="AQ24" s="10">
        <v>-956</v>
      </c>
      <c r="AR24" s="10">
        <f>272+1752</f>
        <v>2024</v>
      </c>
      <c r="AS24" s="10">
        <f>415+2654</f>
        <v>3069</v>
      </c>
      <c r="AT24" s="10">
        <v>844902</v>
      </c>
      <c r="AU24" s="10">
        <v>1339939</v>
      </c>
      <c r="AV24" s="10"/>
      <c r="AW24" s="10"/>
      <c r="AX24" s="10">
        <v>-220135</v>
      </c>
      <c r="AY24" s="10">
        <v>-318906</v>
      </c>
      <c r="AZ24" s="10">
        <v>221358</v>
      </c>
      <c r="BA24" s="10">
        <v>334409</v>
      </c>
      <c r="BB24" s="10">
        <v>19844</v>
      </c>
      <c r="BC24" s="10">
        <v>35942</v>
      </c>
      <c r="BD24" s="10"/>
      <c r="BE24" s="10"/>
      <c r="BF24" s="10">
        <v>567627</v>
      </c>
      <c r="BG24" s="10">
        <v>824789</v>
      </c>
      <c r="BH24" s="10">
        <v>87453</v>
      </c>
      <c r="BI24" s="10">
        <v>157148</v>
      </c>
      <c r="BJ24" s="10">
        <v>38673</v>
      </c>
      <c r="BK24" s="10">
        <v>68605</v>
      </c>
      <c r="BL24" s="108">
        <v>52814</v>
      </c>
      <c r="BM24" s="108">
        <v>96631</v>
      </c>
      <c r="BN24" s="10">
        <f>2169+7678</f>
        <v>9847</v>
      </c>
      <c r="BO24" s="10">
        <f>4153+14292</f>
        <v>18445</v>
      </c>
      <c r="BP24" s="88">
        <f t="shared" si="4"/>
        <v>2214840.8429999999</v>
      </c>
      <c r="BQ24" s="88">
        <f t="shared" si="5"/>
        <v>4162986.4509999999</v>
      </c>
    </row>
    <row r="25" spans="1:69" x14ac:dyDescent="0.25">
      <c r="A25" s="30" t="s">
        <v>226</v>
      </c>
      <c r="B25" s="10">
        <v>-39085</v>
      </c>
      <c r="C25" s="10">
        <v>-69451</v>
      </c>
      <c r="D25" s="10"/>
      <c r="E25" s="10"/>
      <c r="F25" s="10"/>
      <c r="G25" s="10"/>
      <c r="H25" s="10">
        <v>593155</v>
      </c>
      <c r="I25" s="10">
        <v>700910</v>
      </c>
      <c r="J25" s="10">
        <v>317797</v>
      </c>
      <c r="K25" s="10">
        <v>517825</v>
      </c>
      <c r="L25" s="10">
        <v>52564</v>
      </c>
      <c r="M25" s="10">
        <v>128011</v>
      </c>
      <c r="N25" s="10"/>
      <c r="O25" s="10"/>
      <c r="P25" s="10">
        <v>18901</v>
      </c>
      <c r="Q25" s="10">
        <v>39655</v>
      </c>
      <c r="R25" s="10">
        <v>261810</v>
      </c>
      <c r="S25" s="10">
        <v>440259</v>
      </c>
      <c r="T25" s="10">
        <v>232114</v>
      </c>
      <c r="U25" s="10">
        <v>325803</v>
      </c>
      <c r="V25" s="10">
        <f>-390233+593726</f>
        <v>203493</v>
      </c>
      <c r="W25" s="10">
        <f>-643445+1014697</f>
        <v>371252</v>
      </c>
      <c r="X25" s="10"/>
      <c r="Y25" s="10"/>
      <c r="Z25" s="10">
        <v>1519378</v>
      </c>
      <c r="AA25" s="10">
        <v>2317652</v>
      </c>
      <c r="AB25" s="10">
        <v>587611</v>
      </c>
      <c r="AC25" s="10">
        <v>1041528</v>
      </c>
      <c r="AD25" s="10">
        <v>51626</v>
      </c>
      <c r="AE25" s="10">
        <v>93609</v>
      </c>
      <c r="AF25" s="10">
        <f>-76+227935</f>
        <v>227859</v>
      </c>
      <c r="AG25" s="10">
        <f>566+394917</f>
        <v>395483</v>
      </c>
      <c r="AH25" s="10">
        <v>-161776</v>
      </c>
      <c r="AI25" s="10">
        <v>-249538</v>
      </c>
      <c r="AJ25" s="92"/>
      <c r="AK25" s="10"/>
      <c r="AL25" s="10"/>
      <c r="AM25" s="10"/>
      <c r="AN25" s="10">
        <v>947785.27500000002</v>
      </c>
      <c r="AO25" s="10">
        <v>1549419.0660000001</v>
      </c>
      <c r="AP25" s="10">
        <v>5855</v>
      </c>
      <c r="AQ25" s="10">
        <v>8405</v>
      </c>
      <c r="AR25" s="10">
        <f>1415+35875</f>
        <v>37290</v>
      </c>
      <c r="AS25" s="10">
        <f>2317+51158</f>
        <v>53475</v>
      </c>
      <c r="AT25" s="10">
        <v>-236349</v>
      </c>
      <c r="AU25" s="10">
        <v>-307622</v>
      </c>
      <c r="AV25" s="10"/>
      <c r="AW25" s="10"/>
      <c r="AX25" s="10">
        <v>234235</v>
      </c>
      <c r="AY25" s="10">
        <v>526018</v>
      </c>
      <c r="AZ25" s="10">
        <v>130871</v>
      </c>
      <c r="BA25" s="10">
        <v>241752</v>
      </c>
      <c r="BB25" s="10">
        <v>284074</v>
      </c>
      <c r="BC25" s="10">
        <v>502325</v>
      </c>
      <c r="BD25" s="10"/>
      <c r="BE25" s="10"/>
      <c r="BF25" s="10">
        <v>373803</v>
      </c>
      <c r="BG25" s="10">
        <v>821730</v>
      </c>
      <c r="BH25" s="10">
        <v>2365318</v>
      </c>
      <c r="BI25" s="10">
        <v>4552674</v>
      </c>
      <c r="BJ25" s="10">
        <v>651109</v>
      </c>
      <c r="BK25" s="10">
        <v>1028980</v>
      </c>
      <c r="BL25" s="108">
        <v>945618</v>
      </c>
      <c r="BM25" s="108">
        <v>1697263</v>
      </c>
      <c r="BN25" s="10">
        <f>511+193993</f>
        <v>194504</v>
      </c>
      <c r="BO25" s="10">
        <f>350+363031</f>
        <v>363381</v>
      </c>
      <c r="BP25" s="88">
        <f t="shared" si="4"/>
        <v>9799560.2750000004</v>
      </c>
      <c r="BQ25" s="88">
        <f t="shared" si="5"/>
        <v>17090798.066</v>
      </c>
    </row>
    <row r="26" spans="1:69" x14ac:dyDescent="0.25">
      <c r="A26" s="28"/>
    </row>
    <row r="27" spans="1:69" x14ac:dyDescent="0.25">
      <c r="A27" s="29" t="s">
        <v>219</v>
      </c>
    </row>
    <row r="28" spans="1:69" x14ac:dyDescent="0.25">
      <c r="A28" s="3" t="s">
        <v>0</v>
      </c>
      <c r="B28" s="116" t="s">
        <v>1</v>
      </c>
      <c r="C28" s="117"/>
      <c r="D28" s="116" t="s">
        <v>285</v>
      </c>
      <c r="E28" s="117"/>
      <c r="F28" s="116" t="s">
        <v>2</v>
      </c>
      <c r="G28" s="117"/>
      <c r="H28" s="116" t="s">
        <v>3</v>
      </c>
      <c r="I28" s="117"/>
      <c r="J28" s="116" t="s">
        <v>4</v>
      </c>
      <c r="K28" s="117"/>
      <c r="L28" s="116" t="s">
        <v>286</v>
      </c>
      <c r="M28" s="117"/>
      <c r="N28" s="116" t="s">
        <v>6</v>
      </c>
      <c r="O28" s="117"/>
      <c r="P28" s="116" t="s">
        <v>5</v>
      </c>
      <c r="Q28" s="117"/>
      <c r="R28" s="116" t="s">
        <v>7</v>
      </c>
      <c r="S28" s="117"/>
      <c r="T28" s="116" t="s">
        <v>287</v>
      </c>
      <c r="U28" s="117"/>
      <c r="V28" s="116" t="s">
        <v>8</v>
      </c>
      <c r="W28" s="117"/>
      <c r="X28" s="116" t="s">
        <v>288</v>
      </c>
      <c r="Y28" s="117"/>
      <c r="Z28" s="116" t="s">
        <v>9</v>
      </c>
      <c r="AA28" s="117"/>
      <c r="AB28" s="116" t="s">
        <v>10</v>
      </c>
      <c r="AC28" s="117"/>
      <c r="AD28" s="116" t="s">
        <v>289</v>
      </c>
      <c r="AE28" s="117"/>
      <c r="AF28" s="116" t="s">
        <v>11</v>
      </c>
      <c r="AG28" s="117"/>
      <c r="AH28" s="116" t="s">
        <v>12</v>
      </c>
      <c r="AI28" s="117"/>
      <c r="AJ28" s="116" t="s">
        <v>290</v>
      </c>
      <c r="AK28" s="117"/>
      <c r="AL28" s="116" t="s">
        <v>299</v>
      </c>
      <c r="AM28" s="117"/>
      <c r="AN28" s="116" t="s">
        <v>13</v>
      </c>
      <c r="AO28" s="117"/>
      <c r="AP28" s="116" t="s">
        <v>291</v>
      </c>
      <c r="AQ28" s="117"/>
      <c r="AR28" s="116" t="s">
        <v>292</v>
      </c>
      <c r="AS28" s="117"/>
      <c r="AT28" s="116" t="s">
        <v>307</v>
      </c>
      <c r="AU28" s="117"/>
      <c r="AV28" s="116" t="s">
        <v>293</v>
      </c>
      <c r="AW28" s="117"/>
      <c r="AX28" s="116" t="s">
        <v>14</v>
      </c>
      <c r="AY28" s="117"/>
      <c r="AZ28" s="116" t="s">
        <v>15</v>
      </c>
      <c r="BA28" s="117"/>
      <c r="BB28" s="116" t="s">
        <v>16</v>
      </c>
      <c r="BC28" s="117"/>
      <c r="BD28" s="116" t="s">
        <v>17</v>
      </c>
      <c r="BE28" s="117"/>
      <c r="BF28" s="116" t="s">
        <v>18</v>
      </c>
      <c r="BG28" s="117"/>
      <c r="BH28" s="116" t="s">
        <v>294</v>
      </c>
      <c r="BI28" s="117"/>
      <c r="BJ28" s="116" t="s">
        <v>295</v>
      </c>
      <c r="BK28" s="117"/>
      <c r="BL28" s="116" t="s">
        <v>19</v>
      </c>
      <c r="BM28" s="117"/>
      <c r="BN28" s="116" t="s">
        <v>20</v>
      </c>
      <c r="BO28" s="117"/>
      <c r="BP28" s="118" t="s">
        <v>21</v>
      </c>
      <c r="BQ28" s="119"/>
    </row>
    <row r="29" spans="1:69" ht="30" x14ac:dyDescent="0.25">
      <c r="A29" s="3"/>
      <c r="B29" s="67" t="s">
        <v>296</v>
      </c>
      <c r="C29" s="68" t="s">
        <v>297</v>
      </c>
      <c r="D29" s="67" t="s">
        <v>296</v>
      </c>
      <c r="E29" s="68" t="s">
        <v>297</v>
      </c>
      <c r="F29" s="67" t="s">
        <v>296</v>
      </c>
      <c r="G29" s="68" t="s">
        <v>297</v>
      </c>
      <c r="H29" s="67" t="s">
        <v>296</v>
      </c>
      <c r="I29" s="68" t="s">
        <v>297</v>
      </c>
      <c r="J29" s="67" t="s">
        <v>296</v>
      </c>
      <c r="K29" s="68" t="s">
        <v>297</v>
      </c>
      <c r="L29" s="67" t="s">
        <v>296</v>
      </c>
      <c r="M29" s="68" t="s">
        <v>297</v>
      </c>
      <c r="N29" s="67" t="s">
        <v>296</v>
      </c>
      <c r="O29" s="68" t="s">
        <v>297</v>
      </c>
      <c r="P29" s="67" t="s">
        <v>296</v>
      </c>
      <c r="Q29" s="68" t="s">
        <v>297</v>
      </c>
      <c r="R29" s="67" t="s">
        <v>296</v>
      </c>
      <c r="S29" s="68" t="s">
        <v>297</v>
      </c>
      <c r="T29" s="67" t="s">
        <v>296</v>
      </c>
      <c r="U29" s="68" t="s">
        <v>297</v>
      </c>
      <c r="V29" s="67" t="s">
        <v>296</v>
      </c>
      <c r="W29" s="68" t="s">
        <v>297</v>
      </c>
      <c r="X29" s="67" t="s">
        <v>296</v>
      </c>
      <c r="Y29" s="68" t="s">
        <v>297</v>
      </c>
      <c r="Z29" s="67" t="s">
        <v>296</v>
      </c>
      <c r="AA29" s="68" t="s">
        <v>297</v>
      </c>
      <c r="AB29" s="67" t="s">
        <v>296</v>
      </c>
      <c r="AC29" s="68" t="s">
        <v>297</v>
      </c>
      <c r="AD29" s="67" t="s">
        <v>296</v>
      </c>
      <c r="AE29" s="68" t="s">
        <v>297</v>
      </c>
      <c r="AF29" s="67" t="s">
        <v>296</v>
      </c>
      <c r="AG29" s="68" t="s">
        <v>297</v>
      </c>
      <c r="AH29" s="67" t="s">
        <v>296</v>
      </c>
      <c r="AI29" s="68" t="s">
        <v>297</v>
      </c>
      <c r="AJ29" s="67" t="s">
        <v>296</v>
      </c>
      <c r="AK29" s="68" t="s">
        <v>297</v>
      </c>
      <c r="AL29" s="67" t="s">
        <v>296</v>
      </c>
      <c r="AM29" s="68" t="s">
        <v>297</v>
      </c>
      <c r="AN29" s="67" t="s">
        <v>296</v>
      </c>
      <c r="AO29" s="68" t="s">
        <v>297</v>
      </c>
      <c r="AP29" s="67" t="s">
        <v>296</v>
      </c>
      <c r="AQ29" s="68" t="s">
        <v>297</v>
      </c>
      <c r="AR29" s="67" t="s">
        <v>296</v>
      </c>
      <c r="AS29" s="68" t="s">
        <v>297</v>
      </c>
      <c r="AT29" s="67" t="s">
        <v>296</v>
      </c>
      <c r="AU29" s="68" t="s">
        <v>297</v>
      </c>
      <c r="AV29" s="67" t="s">
        <v>296</v>
      </c>
      <c r="AW29" s="68" t="s">
        <v>297</v>
      </c>
      <c r="AX29" s="67" t="s">
        <v>296</v>
      </c>
      <c r="AY29" s="68" t="s">
        <v>297</v>
      </c>
      <c r="AZ29" s="67" t="s">
        <v>296</v>
      </c>
      <c r="BA29" s="68" t="s">
        <v>297</v>
      </c>
      <c r="BB29" s="67" t="s">
        <v>296</v>
      </c>
      <c r="BC29" s="68" t="s">
        <v>297</v>
      </c>
      <c r="BD29" s="67" t="s">
        <v>296</v>
      </c>
      <c r="BE29" s="68" t="s">
        <v>297</v>
      </c>
      <c r="BF29" s="67" t="s">
        <v>296</v>
      </c>
      <c r="BG29" s="68" t="s">
        <v>297</v>
      </c>
      <c r="BH29" s="67" t="s">
        <v>296</v>
      </c>
      <c r="BI29" s="68" t="s">
        <v>297</v>
      </c>
      <c r="BJ29" s="67" t="s">
        <v>296</v>
      </c>
      <c r="BK29" s="68" t="s">
        <v>297</v>
      </c>
      <c r="BL29" s="67" t="s">
        <v>296</v>
      </c>
      <c r="BM29" s="68" t="s">
        <v>297</v>
      </c>
      <c r="BN29" s="67" t="s">
        <v>296</v>
      </c>
      <c r="BO29" s="68" t="s">
        <v>297</v>
      </c>
      <c r="BP29" s="84" t="s">
        <v>280</v>
      </c>
      <c r="BQ29" s="85" t="s">
        <v>281</v>
      </c>
    </row>
    <row r="30" spans="1:69" x14ac:dyDescent="0.25">
      <c r="A30" s="30" t="s">
        <v>225</v>
      </c>
      <c r="B30" s="10"/>
      <c r="C30" s="10"/>
      <c r="D30" s="10"/>
      <c r="E30" s="10"/>
      <c r="F30" s="10"/>
      <c r="G30" s="10"/>
      <c r="H30" s="10">
        <v>53217</v>
      </c>
      <c r="I30" s="10">
        <v>87407</v>
      </c>
      <c r="J30" s="10">
        <v>6710</v>
      </c>
      <c r="K30" s="10">
        <v>15147</v>
      </c>
      <c r="L30" s="10">
        <v>7321</v>
      </c>
      <c r="M30" s="10">
        <v>13760</v>
      </c>
      <c r="N30" s="10"/>
      <c r="O30" s="10"/>
      <c r="P30" s="10">
        <v>98</v>
      </c>
      <c r="Q30" s="10">
        <v>124</v>
      </c>
      <c r="R30" s="10">
        <v>10531</v>
      </c>
      <c r="S30" s="10">
        <v>21247</v>
      </c>
      <c r="T30" s="10">
        <v>2300</v>
      </c>
      <c r="U30" s="10">
        <v>3503</v>
      </c>
      <c r="V30" s="10">
        <v>39847</v>
      </c>
      <c r="W30" s="10">
        <v>70840</v>
      </c>
      <c r="X30" s="10"/>
      <c r="Y30" s="10"/>
      <c r="Z30" s="10">
        <v>77112</v>
      </c>
      <c r="AA30" s="10">
        <v>145757</v>
      </c>
      <c r="AB30" s="10">
        <v>32314</v>
      </c>
      <c r="AC30" s="10">
        <v>58648</v>
      </c>
      <c r="AD30" s="10">
        <v>212</v>
      </c>
      <c r="AE30" s="10">
        <v>361</v>
      </c>
      <c r="AF30" s="10">
        <v>9389</v>
      </c>
      <c r="AG30" s="10">
        <v>15961</v>
      </c>
      <c r="AH30" s="10">
        <v>2414</v>
      </c>
      <c r="AI30" s="10">
        <v>3496</v>
      </c>
      <c r="AJ30" s="92"/>
      <c r="AK30" s="10"/>
      <c r="AL30" s="10"/>
      <c r="AM30" s="10"/>
      <c r="AN30" s="10">
        <v>70535.205000000016</v>
      </c>
      <c r="AO30" s="10">
        <v>127365.14200000001</v>
      </c>
      <c r="AP30" s="10"/>
      <c r="AQ30" s="10"/>
      <c r="AR30" s="10">
        <v>168</v>
      </c>
      <c r="AS30" s="10">
        <v>358</v>
      </c>
      <c r="AT30" s="10">
        <v>47635</v>
      </c>
      <c r="AU30" s="10">
        <v>74019</v>
      </c>
      <c r="AV30" s="10"/>
      <c r="AW30" s="10"/>
      <c r="AX30" s="10">
        <v>16434</v>
      </c>
      <c r="AY30" s="10">
        <v>35781</v>
      </c>
      <c r="AZ30" s="10">
        <v>7647</v>
      </c>
      <c r="BA30" s="10">
        <v>15237</v>
      </c>
      <c r="BB30" s="10">
        <v>3789</v>
      </c>
      <c r="BC30" s="10">
        <v>6634</v>
      </c>
      <c r="BD30" s="10"/>
      <c r="BE30" s="10"/>
      <c r="BF30" s="10">
        <v>12009</v>
      </c>
      <c r="BG30" s="10">
        <v>27544</v>
      </c>
      <c r="BH30" s="10">
        <v>173747</v>
      </c>
      <c r="BI30" s="10">
        <v>356450</v>
      </c>
      <c r="BJ30" s="10">
        <v>60535</v>
      </c>
      <c r="BK30" s="10">
        <v>104677</v>
      </c>
      <c r="BL30" s="108">
        <v>88389</v>
      </c>
      <c r="BM30" s="108">
        <v>157546</v>
      </c>
      <c r="BN30" s="10">
        <v>2419</v>
      </c>
      <c r="BO30" s="10">
        <v>4935</v>
      </c>
      <c r="BP30" s="88">
        <f t="shared" ref="BP30:BP33" si="6">SUM(B30+D30+F30+H30+J30+L30+N30+P30+R30+T30+V30+X30+Z30+AB30+AD30+AF30+AH30+AJ30+AL30+AN30+AP30+AR30+AT30+AV30+AX30+AZ30+BB30+BD30+BF30+BH30+BJ30+BL30+BN30)</f>
        <v>724772.20500000007</v>
      </c>
      <c r="BQ30" s="88">
        <f t="shared" ref="BQ30:BQ33" si="7">SUM(C30+E30+G30+I30+K30+M30+O30+Q30+S30+U30+W30+Y30+AA30+AC30+AE30+AG30+AI30+AK30+AM30+AO30+AQ30+AS30+AU30+AW30+AY30+BA30+BC30+BE30+BG30+BI30+BK30+BM30+BO30)</f>
        <v>1346797.142</v>
      </c>
    </row>
    <row r="31" spans="1:69" x14ac:dyDescent="0.25">
      <c r="A31" s="30" t="s">
        <v>276</v>
      </c>
      <c r="B31" s="10"/>
      <c r="C31" s="10"/>
      <c r="D31" s="10"/>
      <c r="E31" s="10"/>
      <c r="F31" s="10"/>
      <c r="G31" s="10"/>
      <c r="H31" s="10">
        <v>1359</v>
      </c>
      <c r="I31" s="10">
        <v>2920</v>
      </c>
      <c r="J31" s="10"/>
      <c r="K31" s="10">
        <v>498</v>
      </c>
      <c r="L31" s="10"/>
      <c r="M31" s="10">
        <v>99</v>
      </c>
      <c r="N31" s="10"/>
      <c r="O31" s="10"/>
      <c r="P31" s="10">
        <v>133</v>
      </c>
      <c r="Q31" s="10">
        <v>280</v>
      </c>
      <c r="R31" s="10">
        <v>1219</v>
      </c>
      <c r="S31" s="10">
        <v>1289</v>
      </c>
      <c r="T31" s="10">
        <v>981</v>
      </c>
      <c r="U31" s="10">
        <v>3037</v>
      </c>
      <c r="V31" s="10">
        <v>2152</v>
      </c>
      <c r="W31" s="10">
        <v>2658</v>
      </c>
      <c r="X31" s="10"/>
      <c r="Y31" s="10"/>
      <c r="Z31" s="10">
        <v>9345</v>
      </c>
      <c r="AA31" s="10">
        <v>27621</v>
      </c>
      <c r="AB31" s="10">
        <v>2258</v>
      </c>
      <c r="AC31" s="10">
        <v>3163</v>
      </c>
      <c r="AD31" s="10">
        <v>21</v>
      </c>
      <c r="AE31" s="10">
        <v>48</v>
      </c>
      <c r="AF31" s="10">
        <v>67</v>
      </c>
      <c r="AG31" s="10">
        <v>120</v>
      </c>
      <c r="AH31" s="10">
        <v>286</v>
      </c>
      <c r="AI31" s="10">
        <v>802</v>
      </c>
      <c r="AJ31" s="92"/>
      <c r="AK31" s="10"/>
      <c r="AL31" s="10"/>
      <c r="AM31" s="10"/>
      <c r="AN31" s="10">
        <v>17227.502</v>
      </c>
      <c r="AO31" s="10">
        <v>28902.580999999998</v>
      </c>
      <c r="AP31" s="10">
        <v>25</v>
      </c>
      <c r="AQ31" s="10">
        <v>52</v>
      </c>
      <c r="AR31" s="10">
        <v>17</v>
      </c>
      <c r="AS31" s="10">
        <v>17</v>
      </c>
      <c r="AT31" s="10">
        <v>852</v>
      </c>
      <c r="AU31" s="10">
        <v>1436</v>
      </c>
      <c r="AV31" s="10"/>
      <c r="AW31" s="10"/>
      <c r="AX31" s="10">
        <v>749</v>
      </c>
      <c r="AY31" s="10">
        <v>1349</v>
      </c>
      <c r="AZ31" s="10">
        <v>208</v>
      </c>
      <c r="BA31" s="10">
        <v>437</v>
      </c>
      <c r="BB31" s="10">
        <v>228</v>
      </c>
      <c r="BC31" s="10">
        <v>625</v>
      </c>
      <c r="BD31" s="10"/>
      <c r="BE31" s="10"/>
      <c r="BF31" s="10">
        <v>680</v>
      </c>
      <c r="BG31" s="10">
        <v>5452</v>
      </c>
      <c r="BH31" s="10">
        <v>25812</v>
      </c>
      <c r="BI31" s="10">
        <v>49014</v>
      </c>
      <c r="BJ31" s="10">
        <v>22198</v>
      </c>
      <c r="BK31" s="10">
        <v>22237</v>
      </c>
      <c r="BL31" s="108">
        <v>4933</v>
      </c>
      <c r="BM31" s="108">
        <v>11746</v>
      </c>
      <c r="BN31" s="10">
        <v>112</v>
      </c>
      <c r="BO31" s="10">
        <v>259</v>
      </c>
      <c r="BP31" s="88">
        <f t="shared" si="6"/>
        <v>90862.502000000008</v>
      </c>
      <c r="BQ31" s="88">
        <f t="shared" si="7"/>
        <v>164061.58100000001</v>
      </c>
    </row>
    <row r="32" spans="1:69" x14ac:dyDescent="0.25">
      <c r="A32" s="30" t="s">
        <v>277</v>
      </c>
      <c r="B32" s="10"/>
      <c r="C32" s="10"/>
      <c r="D32" s="10"/>
      <c r="E32" s="10"/>
      <c r="F32" s="10"/>
      <c r="G32" s="10"/>
      <c r="H32" s="10">
        <v>94369</v>
      </c>
      <c r="I32" s="10">
        <v>168846</v>
      </c>
      <c r="J32" s="10">
        <v>2480</v>
      </c>
      <c r="K32" s="10">
        <v>17040</v>
      </c>
      <c r="L32" s="10">
        <v>7771</v>
      </c>
      <c r="M32" s="10">
        <v>13646</v>
      </c>
      <c r="N32" s="10"/>
      <c r="O32" s="10"/>
      <c r="P32" s="10">
        <v>136</v>
      </c>
      <c r="Q32" s="10">
        <v>169</v>
      </c>
      <c r="R32" s="10">
        <v>22703</v>
      </c>
      <c r="S32" s="10">
        <v>38001</v>
      </c>
      <c r="T32" s="10">
        <v>2356</v>
      </c>
      <c r="U32" s="10">
        <v>5048</v>
      </c>
      <c r="V32" s="10">
        <v>-88467</v>
      </c>
      <c r="W32" s="10">
        <v>-172777</v>
      </c>
      <c r="X32" s="10"/>
      <c r="Y32" s="10"/>
      <c r="Z32" s="10">
        <v>132123</v>
      </c>
      <c r="AA32" s="10">
        <v>240419</v>
      </c>
      <c r="AB32" s="10">
        <v>22107</v>
      </c>
      <c r="AC32" s="10">
        <v>41135</v>
      </c>
      <c r="AD32" s="10">
        <v>204</v>
      </c>
      <c r="AE32" s="10">
        <v>347</v>
      </c>
      <c r="AF32" s="10">
        <v>12410</v>
      </c>
      <c r="AG32" s="10">
        <v>21145</v>
      </c>
      <c r="AH32" s="10">
        <v>-2977</v>
      </c>
      <c r="AI32" s="10">
        <v>-5854</v>
      </c>
      <c r="AJ32" s="92"/>
      <c r="AK32" s="10"/>
      <c r="AL32" s="10"/>
      <c r="AM32" s="10"/>
      <c r="AN32" s="10">
        <v>39926.404999999999</v>
      </c>
      <c r="AO32" s="10">
        <v>73107.25</v>
      </c>
      <c r="AP32" s="10"/>
      <c r="AQ32" s="10"/>
      <c r="AR32" s="10">
        <v>204</v>
      </c>
      <c r="AS32" s="10">
        <v>405</v>
      </c>
      <c r="AT32" s="10">
        <v>21291</v>
      </c>
      <c r="AU32" s="10">
        <v>28185</v>
      </c>
      <c r="AV32" s="10"/>
      <c r="AW32" s="10"/>
      <c r="AX32" s="10">
        <v>-44027</v>
      </c>
      <c r="AY32" s="10">
        <v>-74730</v>
      </c>
      <c r="AZ32" s="10">
        <v>39242</v>
      </c>
      <c r="BA32" s="10">
        <v>48844</v>
      </c>
      <c r="BB32" s="10">
        <v>4090</v>
      </c>
      <c r="BC32" s="10">
        <v>6630</v>
      </c>
      <c r="BD32" s="10"/>
      <c r="BE32" s="10"/>
      <c r="BF32" s="10">
        <v>47128</v>
      </c>
      <c r="BG32" s="10">
        <v>93587</v>
      </c>
      <c r="BH32" s="10">
        <v>135429</v>
      </c>
      <c r="BI32" s="10">
        <v>247433</v>
      </c>
      <c r="BJ32" s="10">
        <v>68968</v>
      </c>
      <c r="BK32" s="10">
        <v>89832</v>
      </c>
      <c r="BL32" s="108">
        <v>37006</v>
      </c>
      <c r="BM32" s="108">
        <v>76322</v>
      </c>
      <c r="BN32" s="10">
        <v>80223</v>
      </c>
      <c r="BO32" s="10">
        <v>84285</v>
      </c>
      <c r="BP32" s="88">
        <f t="shared" si="6"/>
        <v>634695.40500000003</v>
      </c>
      <c r="BQ32" s="88">
        <f t="shared" si="7"/>
        <v>1041065.25</v>
      </c>
    </row>
    <row r="33" spans="1:69" x14ac:dyDescent="0.25">
      <c r="A33" s="30" t="s">
        <v>226</v>
      </c>
      <c r="B33" s="10"/>
      <c r="C33" s="10"/>
      <c r="D33" s="10"/>
      <c r="E33" s="10"/>
      <c r="F33" s="10"/>
      <c r="G33" s="10"/>
      <c r="H33" s="10">
        <v>-39793</v>
      </c>
      <c r="I33" s="10">
        <v>-78519</v>
      </c>
      <c r="J33" s="10">
        <v>4230</v>
      </c>
      <c r="K33" s="10">
        <v>-1395</v>
      </c>
      <c r="L33" s="10">
        <v>-450</v>
      </c>
      <c r="M33" s="10">
        <v>213</v>
      </c>
      <c r="N33" s="10"/>
      <c r="O33" s="10"/>
      <c r="P33" s="10">
        <v>95</v>
      </c>
      <c r="Q33" s="10">
        <v>235</v>
      </c>
      <c r="R33" s="10">
        <v>-10953</v>
      </c>
      <c r="S33" s="10">
        <v>-15465</v>
      </c>
      <c r="T33" s="10">
        <v>925</v>
      </c>
      <c r="U33" s="10">
        <v>1492</v>
      </c>
      <c r="V33" s="10">
        <v>-46468</v>
      </c>
      <c r="W33" s="10">
        <v>-99279</v>
      </c>
      <c r="X33" s="10"/>
      <c r="Y33" s="10"/>
      <c r="Z33" s="10">
        <v>-45666</v>
      </c>
      <c r="AA33" s="10">
        <v>-67041</v>
      </c>
      <c r="AB33" s="10">
        <v>12465</v>
      </c>
      <c r="AC33" s="10">
        <v>20676</v>
      </c>
      <c r="AD33" s="10">
        <v>29</v>
      </c>
      <c r="AE33" s="10">
        <v>62</v>
      </c>
      <c r="AF33" s="10">
        <v>-2954</v>
      </c>
      <c r="AG33" s="10">
        <v>-5065</v>
      </c>
      <c r="AH33" s="10">
        <v>-277</v>
      </c>
      <c r="AI33" s="10">
        <v>-1556</v>
      </c>
      <c r="AJ33" s="92"/>
      <c r="AK33" s="10"/>
      <c r="AL33" s="10"/>
      <c r="AM33" s="10"/>
      <c r="AN33" s="10">
        <v>47836.302000000025</v>
      </c>
      <c r="AO33" s="10">
        <v>83160.472999999998</v>
      </c>
      <c r="AP33" s="10">
        <v>25</v>
      </c>
      <c r="AQ33" s="10">
        <v>52</v>
      </c>
      <c r="AR33" s="10">
        <v>-19</v>
      </c>
      <c r="AS33" s="10">
        <v>-31</v>
      </c>
      <c r="AT33" s="10">
        <v>27196</v>
      </c>
      <c r="AU33" s="10">
        <v>47270</v>
      </c>
      <c r="AV33" s="10"/>
      <c r="AW33" s="10"/>
      <c r="AX33" s="10">
        <v>-26844</v>
      </c>
      <c r="AY33" s="10">
        <v>-37600</v>
      </c>
      <c r="AZ33" s="10">
        <v>-31387</v>
      </c>
      <c r="BA33" s="10">
        <v>-33170</v>
      </c>
      <c r="BB33" s="10">
        <v>-73</v>
      </c>
      <c r="BC33" s="10">
        <v>629</v>
      </c>
      <c r="BD33" s="10"/>
      <c r="BE33" s="10"/>
      <c r="BF33" s="10">
        <v>-34439</v>
      </c>
      <c r="BG33" s="10">
        <v>-60591</v>
      </c>
      <c r="BH33" s="10">
        <v>64130</v>
      </c>
      <c r="BI33" s="10">
        <v>158031</v>
      </c>
      <c r="BJ33" s="10">
        <v>13765</v>
      </c>
      <c r="BK33" s="10">
        <v>37082</v>
      </c>
      <c r="BL33" s="108">
        <v>56316</v>
      </c>
      <c r="BM33" s="108">
        <v>92970</v>
      </c>
      <c r="BN33" s="10">
        <v>-77692</v>
      </c>
      <c r="BO33" s="10">
        <v>-79091</v>
      </c>
      <c r="BP33" s="88">
        <f t="shared" si="6"/>
        <v>-90002.697999999975</v>
      </c>
      <c r="BQ33" s="88">
        <f t="shared" si="7"/>
        <v>-36930.527000000002</v>
      </c>
    </row>
    <row r="34" spans="1:69" x14ac:dyDescent="0.25">
      <c r="A34" s="28"/>
    </row>
    <row r="35" spans="1:69" x14ac:dyDescent="0.25">
      <c r="A35" s="29" t="s">
        <v>220</v>
      </c>
    </row>
    <row r="36" spans="1:69" x14ac:dyDescent="0.25">
      <c r="A36" s="3" t="s">
        <v>0</v>
      </c>
      <c r="B36" s="116" t="s">
        <v>1</v>
      </c>
      <c r="C36" s="117"/>
      <c r="D36" s="116" t="s">
        <v>285</v>
      </c>
      <c r="E36" s="117"/>
      <c r="F36" s="116" t="s">
        <v>2</v>
      </c>
      <c r="G36" s="117"/>
      <c r="H36" s="116" t="s">
        <v>3</v>
      </c>
      <c r="I36" s="117"/>
      <c r="J36" s="116" t="s">
        <v>4</v>
      </c>
      <c r="K36" s="117"/>
      <c r="L36" s="116" t="s">
        <v>286</v>
      </c>
      <c r="M36" s="117"/>
      <c r="N36" s="116" t="s">
        <v>6</v>
      </c>
      <c r="O36" s="117"/>
      <c r="P36" s="116" t="s">
        <v>5</v>
      </c>
      <c r="Q36" s="117"/>
      <c r="R36" s="116" t="s">
        <v>7</v>
      </c>
      <c r="S36" s="117"/>
      <c r="T36" s="116" t="s">
        <v>287</v>
      </c>
      <c r="U36" s="117"/>
      <c r="V36" s="116" t="s">
        <v>8</v>
      </c>
      <c r="W36" s="117"/>
      <c r="X36" s="116" t="s">
        <v>288</v>
      </c>
      <c r="Y36" s="117"/>
      <c r="Z36" s="116" t="s">
        <v>9</v>
      </c>
      <c r="AA36" s="117"/>
      <c r="AB36" s="116" t="s">
        <v>10</v>
      </c>
      <c r="AC36" s="117"/>
      <c r="AD36" s="116" t="s">
        <v>289</v>
      </c>
      <c r="AE36" s="117"/>
      <c r="AF36" s="116" t="s">
        <v>11</v>
      </c>
      <c r="AG36" s="117"/>
      <c r="AH36" s="116" t="s">
        <v>12</v>
      </c>
      <c r="AI36" s="117"/>
      <c r="AJ36" s="116" t="s">
        <v>290</v>
      </c>
      <c r="AK36" s="117"/>
      <c r="AL36" s="116" t="s">
        <v>299</v>
      </c>
      <c r="AM36" s="117"/>
      <c r="AN36" s="116" t="s">
        <v>13</v>
      </c>
      <c r="AO36" s="117"/>
      <c r="AP36" s="116" t="s">
        <v>291</v>
      </c>
      <c r="AQ36" s="117"/>
      <c r="AR36" s="116" t="s">
        <v>292</v>
      </c>
      <c r="AS36" s="117"/>
      <c r="AT36" s="116" t="s">
        <v>307</v>
      </c>
      <c r="AU36" s="117"/>
      <c r="AV36" s="116" t="s">
        <v>293</v>
      </c>
      <c r="AW36" s="117"/>
      <c r="AX36" s="116" t="s">
        <v>14</v>
      </c>
      <c r="AY36" s="117"/>
      <c r="AZ36" s="116" t="s">
        <v>15</v>
      </c>
      <c r="BA36" s="117"/>
      <c r="BB36" s="116" t="s">
        <v>16</v>
      </c>
      <c r="BC36" s="117"/>
      <c r="BD36" s="116" t="s">
        <v>17</v>
      </c>
      <c r="BE36" s="117"/>
      <c r="BF36" s="116" t="s">
        <v>18</v>
      </c>
      <c r="BG36" s="117"/>
      <c r="BH36" s="116" t="s">
        <v>294</v>
      </c>
      <c r="BI36" s="117"/>
      <c r="BJ36" s="116" t="s">
        <v>295</v>
      </c>
      <c r="BK36" s="117"/>
      <c r="BL36" s="116" t="s">
        <v>19</v>
      </c>
      <c r="BM36" s="117"/>
      <c r="BN36" s="116" t="s">
        <v>20</v>
      </c>
      <c r="BO36" s="117"/>
      <c r="BP36" s="118" t="s">
        <v>21</v>
      </c>
      <c r="BQ36" s="119"/>
    </row>
    <row r="37" spans="1:69" ht="30" x14ac:dyDescent="0.25">
      <c r="A37" s="3"/>
      <c r="B37" s="67" t="s">
        <v>296</v>
      </c>
      <c r="C37" s="68" t="s">
        <v>297</v>
      </c>
      <c r="D37" s="67" t="s">
        <v>296</v>
      </c>
      <c r="E37" s="68" t="s">
        <v>297</v>
      </c>
      <c r="F37" s="67" t="s">
        <v>296</v>
      </c>
      <c r="G37" s="68" t="s">
        <v>297</v>
      </c>
      <c r="H37" s="67" t="s">
        <v>296</v>
      </c>
      <c r="I37" s="68" t="s">
        <v>297</v>
      </c>
      <c r="J37" s="67" t="s">
        <v>296</v>
      </c>
      <c r="K37" s="68" t="s">
        <v>297</v>
      </c>
      <c r="L37" s="67" t="s">
        <v>296</v>
      </c>
      <c r="M37" s="68" t="s">
        <v>297</v>
      </c>
      <c r="N37" s="67" t="s">
        <v>296</v>
      </c>
      <c r="O37" s="68" t="s">
        <v>297</v>
      </c>
      <c r="P37" s="67" t="s">
        <v>296</v>
      </c>
      <c r="Q37" s="68" t="s">
        <v>297</v>
      </c>
      <c r="R37" s="67" t="s">
        <v>296</v>
      </c>
      <c r="S37" s="68" t="s">
        <v>297</v>
      </c>
      <c r="T37" s="67" t="s">
        <v>296</v>
      </c>
      <c r="U37" s="68" t="s">
        <v>297</v>
      </c>
      <c r="V37" s="67" t="s">
        <v>296</v>
      </c>
      <c r="W37" s="68" t="s">
        <v>297</v>
      </c>
      <c r="X37" s="67" t="s">
        <v>296</v>
      </c>
      <c r="Y37" s="68" t="s">
        <v>297</v>
      </c>
      <c r="Z37" s="67" t="s">
        <v>296</v>
      </c>
      <c r="AA37" s="68" t="s">
        <v>297</v>
      </c>
      <c r="AB37" s="67" t="s">
        <v>296</v>
      </c>
      <c r="AC37" s="68" t="s">
        <v>297</v>
      </c>
      <c r="AD37" s="67" t="s">
        <v>296</v>
      </c>
      <c r="AE37" s="68" t="s">
        <v>297</v>
      </c>
      <c r="AF37" s="67" t="s">
        <v>296</v>
      </c>
      <c r="AG37" s="68" t="s">
        <v>297</v>
      </c>
      <c r="AH37" s="67" t="s">
        <v>296</v>
      </c>
      <c r="AI37" s="68" t="s">
        <v>297</v>
      </c>
      <c r="AJ37" s="67" t="s">
        <v>296</v>
      </c>
      <c r="AK37" s="68" t="s">
        <v>297</v>
      </c>
      <c r="AL37" s="67" t="s">
        <v>296</v>
      </c>
      <c r="AM37" s="68" t="s">
        <v>297</v>
      </c>
      <c r="AN37" s="67" t="s">
        <v>296</v>
      </c>
      <c r="AO37" s="68" t="s">
        <v>297</v>
      </c>
      <c r="AP37" s="67" t="s">
        <v>296</v>
      </c>
      <c r="AQ37" s="68" t="s">
        <v>297</v>
      </c>
      <c r="AR37" s="67" t="s">
        <v>296</v>
      </c>
      <c r="AS37" s="68" t="s">
        <v>297</v>
      </c>
      <c r="AT37" s="67" t="s">
        <v>296</v>
      </c>
      <c r="AU37" s="68" t="s">
        <v>297</v>
      </c>
      <c r="AV37" s="67" t="s">
        <v>296</v>
      </c>
      <c r="AW37" s="68" t="s">
        <v>297</v>
      </c>
      <c r="AX37" s="67" t="s">
        <v>296</v>
      </c>
      <c r="AY37" s="68" t="s">
        <v>297</v>
      </c>
      <c r="AZ37" s="67" t="s">
        <v>296</v>
      </c>
      <c r="BA37" s="68" t="s">
        <v>297</v>
      </c>
      <c r="BB37" s="67" t="s">
        <v>296</v>
      </c>
      <c r="BC37" s="68" t="s">
        <v>297</v>
      </c>
      <c r="BD37" s="67" t="s">
        <v>296</v>
      </c>
      <c r="BE37" s="68" t="s">
        <v>297</v>
      </c>
      <c r="BF37" s="67" t="s">
        <v>296</v>
      </c>
      <c r="BG37" s="68" t="s">
        <v>297</v>
      </c>
      <c r="BH37" s="67" t="s">
        <v>296</v>
      </c>
      <c r="BI37" s="68" t="s">
        <v>297</v>
      </c>
      <c r="BJ37" s="67" t="s">
        <v>296</v>
      </c>
      <c r="BK37" s="68" t="s">
        <v>297</v>
      </c>
      <c r="BL37" s="67" t="s">
        <v>296</v>
      </c>
      <c r="BM37" s="68" t="s">
        <v>297</v>
      </c>
      <c r="BN37" s="67" t="s">
        <v>296</v>
      </c>
      <c r="BO37" s="68" t="s">
        <v>297</v>
      </c>
      <c r="BP37" s="84" t="s">
        <v>280</v>
      </c>
      <c r="BQ37" s="85" t="s">
        <v>281</v>
      </c>
    </row>
    <row r="38" spans="1:69" x14ac:dyDescent="0.25">
      <c r="A38" s="30" t="s">
        <v>225</v>
      </c>
      <c r="B38" s="10">
        <v>6848</v>
      </c>
      <c r="C38" s="10">
        <v>13078</v>
      </c>
      <c r="D38" s="10">
        <v>366500</v>
      </c>
      <c r="E38" s="10">
        <v>645077</v>
      </c>
      <c r="F38" s="10"/>
      <c r="G38" s="10"/>
      <c r="H38" s="10">
        <v>440380</v>
      </c>
      <c r="I38" s="10">
        <v>817906</v>
      </c>
      <c r="J38" s="10">
        <v>90105</v>
      </c>
      <c r="K38" s="10">
        <v>169070</v>
      </c>
      <c r="L38" s="10">
        <v>147547</v>
      </c>
      <c r="M38" s="10">
        <v>244751</v>
      </c>
      <c r="N38" s="10"/>
      <c r="O38" s="10"/>
      <c r="P38" s="10">
        <v>22638</v>
      </c>
      <c r="Q38" s="10">
        <v>31256</v>
      </c>
      <c r="R38" s="10">
        <v>68666</v>
      </c>
      <c r="S38" s="10">
        <v>108555</v>
      </c>
      <c r="T38" s="10">
        <v>41307</v>
      </c>
      <c r="U38" s="10">
        <v>83815</v>
      </c>
      <c r="V38" s="10">
        <v>431696</v>
      </c>
      <c r="W38" s="10">
        <v>734764</v>
      </c>
      <c r="X38" s="10">
        <v>793000</v>
      </c>
      <c r="Y38" s="10">
        <v>1378469</v>
      </c>
      <c r="Z38" s="10">
        <v>671021</v>
      </c>
      <c r="AA38" s="10">
        <v>1157554</v>
      </c>
      <c r="AB38" s="10">
        <v>263607</v>
      </c>
      <c r="AC38" s="10">
        <v>475491</v>
      </c>
      <c r="AD38" s="10">
        <v>45461</v>
      </c>
      <c r="AE38" s="10">
        <v>77242</v>
      </c>
      <c r="AF38" s="10">
        <v>50024</v>
      </c>
      <c r="AG38" s="10">
        <v>108863</v>
      </c>
      <c r="AH38" s="10">
        <v>18776</v>
      </c>
      <c r="AI38" s="10">
        <v>32175</v>
      </c>
      <c r="AJ38" s="92">
        <v>239979</v>
      </c>
      <c r="AK38" s="10">
        <v>396726</v>
      </c>
      <c r="AL38" s="10">
        <v>491990</v>
      </c>
      <c r="AM38" s="10">
        <v>839455</v>
      </c>
      <c r="AN38" s="10">
        <v>959723.88399999996</v>
      </c>
      <c r="AO38" s="10">
        <v>1682121.612</v>
      </c>
      <c r="AP38" s="10">
        <v>7945</v>
      </c>
      <c r="AQ38" s="10">
        <v>8538</v>
      </c>
      <c r="AR38" s="10">
        <v>234</v>
      </c>
      <c r="AS38" s="10">
        <v>584</v>
      </c>
      <c r="AT38" s="10">
        <v>121792</v>
      </c>
      <c r="AU38" s="10">
        <v>297967</v>
      </c>
      <c r="AV38" s="10">
        <v>817914</v>
      </c>
      <c r="AW38" s="10">
        <v>1432443</v>
      </c>
      <c r="AX38" s="10">
        <v>108644</v>
      </c>
      <c r="AY38" s="10">
        <v>196101</v>
      </c>
      <c r="AZ38" s="10">
        <v>222065</v>
      </c>
      <c r="BA38" s="10">
        <v>403308</v>
      </c>
      <c r="BB38" s="10">
        <v>343</v>
      </c>
      <c r="BC38" s="10">
        <v>349</v>
      </c>
      <c r="BD38" s="10"/>
      <c r="BE38" s="10"/>
      <c r="BF38" s="10">
        <v>348417</v>
      </c>
      <c r="BG38" s="10">
        <v>591313</v>
      </c>
      <c r="BH38" s="10">
        <v>1647683</v>
      </c>
      <c r="BI38" s="10">
        <v>3367908</v>
      </c>
      <c r="BJ38" s="10">
        <v>1077443</v>
      </c>
      <c r="BK38" s="10">
        <v>1811654</v>
      </c>
      <c r="BL38" s="108">
        <v>702651</v>
      </c>
      <c r="BM38" s="108">
        <v>1440764</v>
      </c>
      <c r="BN38" s="10">
        <v>77541</v>
      </c>
      <c r="BO38" s="10">
        <v>127804</v>
      </c>
      <c r="BP38" s="88">
        <f t="shared" ref="BP38:BP41" si="8">SUM(B38+D38+F38+H38+J38+L38+N38+P38+R38+T38+V38+X38+Z38+AB38+AD38+AF38+AH38+AJ38+AL38+AN38+AP38+AR38+AT38+AV38+AX38+AZ38+BB38+BD38+BF38+BH38+BJ38+BL38+BN38)</f>
        <v>10281940.884</v>
      </c>
      <c r="BQ38" s="88">
        <f t="shared" ref="BQ38:BQ41" si="9">SUM(C38+E38+G38+I38+K38+M38+O38+Q38+S38+U38+W38+Y38+AA38+AC38+AE38+AG38+AI38+AK38+AM38+AO38+AQ38+AS38+AU38+AW38+AY38+BA38+BC38+BE38+BG38+BI38+BK38+BM38+BO38)</f>
        <v>18675101.612</v>
      </c>
    </row>
    <row r="39" spans="1:69" x14ac:dyDescent="0.25">
      <c r="A39" s="30" t="s">
        <v>276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>
        <v>34</v>
      </c>
      <c r="Q39" s="10">
        <v>57</v>
      </c>
      <c r="R39" s="10"/>
      <c r="S39" s="10"/>
      <c r="T39" s="10"/>
      <c r="U39" s="10"/>
      <c r="V39" s="10">
        <v>0</v>
      </c>
      <c r="W39" s="10">
        <v>0</v>
      </c>
      <c r="X39" s="10"/>
      <c r="Y39" s="10"/>
      <c r="Z39" s="10">
        <v>13763</v>
      </c>
      <c r="AA39" s="10">
        <v>30748</v>
      </c>
      <c r="AB39" s="10"/>
      <c r="AC39" s="10"/>
      <c r="AD39" s="10"/>
      <c r="AE39" s="10"/>
      <c r="AF39" s="10"/>
      <c r="AG39" s="10"/>
      <c r="AH39" s="10"/>
      <c r="AI39" s="10"/>
      <c r="AJ39" s="92"/>
      <c r="AK39" s="10"/>
      <c r="AL39" s="10"/>
      <c r="AM39" s="10"/>
      <c r="AN39" s="10">
        <v>0</v>
      </c>
      <c r="AO39" s="10">
        <v>0</v>
      </c>
      <c r="AP39" s="10"/>
      <c r="AQ39" s="10"/>
      <c r="AR39" s="10"/>
      <c r="AS39" s="10"/>
      <c r="AT39" s="10"/>
      <c r="AU39" s="10"/>
      <c r="AV39" s="10">
        <v>445</v>
      </c>
      <c r="AW39" s="10">
        <v>1761</v>
      </c>
      <c r="AX39" s="10"/>
      <c r="AY39" s="10"/>
      <c r="AZ39" s="10"/>
      <c r="BA39" s="10">
        <v>10418</v>
      </c>
      <c r="BB39" s="10"/>
      <c r="BC39" s="10"/>
      <c r="BD39" s="10"/>
      <c r="BE39" s="10"/>
      <c r="BF39" s="10"/>
      <c r="BG39" s="10"/>
      <c r="BH39" s="10">
        <v>13104</v>
      </c>
      <c r="BI39" s="10">
        <v>14055</v>
      </c>
      <c r="BJ39" s="10">
        <v>-111</v>
      </c>
      <c r="BK39" s="10">
        <v>-940</v>
      </c>
      <c r="BL39" s="108">
        <v>0</v>
      </c>
      <c r="BM39" s="108">
        <v>0</v>
      </c>
      <c r="BN39" s="10"/>
      <c r="BO39" s="10"/>
      <c r="BP39" s="88">
        <f t="shared" si="8"/>
        <v>27235</v>
      </c>
      <c r="BQ39" s="88">
        <f t="shared" si="9"/>
        <v>56099</v>
      </c>
    </row>
    <row r="40" spans="1:69" x14ac:dyDescent="0.25">
      <c r="A40" s="30" t="s">
        <v>277</v>
      </c>
      <c r="B40" s="10">
        <v>1129</v>
      </c>
      <c r="C40" s="10">
        <v>1863</v>
      </c>
      <c r="D40" s="10">
        <v>240798</v>
      </c>
      <c r="E40" s="10">
        <v>424522</v>
      </c>
      <c r="F40" s="10"/>
      <c r="G40" s="10"/>
      <c r="H40" s="10">
        <v>193526</v>
      </c>
      <c r="I40" s="10">
        <v>246441</v>
      </c>
      <c r="J40" s="10">
        <v>90616</v>
      </c>
      <c r="K40" s="10">
        <v>118883</v>
      </c>
      <c r="L40" s="10">
        <v>40427</v>
      </c>
      <c r="M40" s="10">
        <v>94289</v>
      </c>
      <c r="N40" s="10"/>
      <c r="O40" s="10"/>
      <c r="P40" s="10">
        <v>1408</v>
      </c>
      <c r="Q40" s="10">
        <v>4314</v>
      </c>
      <c r="R40" s="10">
        <v>15916</v>
      </c>
      <c r="S40" s="10">
        <v>40663</v>
      </c>
      <c r="T40" s="10">
        <v>18706</v>
      </c>
      <c r="U40" s="10">
        <v>43506</v>
      </c>
      <c r="V40" s="10">
        <v>-655739</v>
      </c>
      <c r="W40" s="10">
        <v>-908709</v>
      </c>
      <c r="X40" s="10">
        <v>821875</v>
      </c>
      <c r="Y40" s="10">
        <v>1216588</v>
      </c>
      <c r="Z40" s="10">
        <v>668714</v>
      </c>
      <c r="AA40" s="10">
        <v>943435</v>
      </c>
      <c r="AB40" s="10">
        <v>51521</v>
      </c>
      <c r="AC40" s="10">
        <v>76066</v>
      </c>
      <c r="AD40" s="10">
        <v>3575</v>
      </c>
      <c r="AE40" s="10">
        <v>5928</v>
      </c>
      <c r="AF40" s="10">
        <v>4312</v>
      </c>
      <c r="AG40" s="10">
        <v>7153</v>
      </c>
      <c r="AH40" s="10">
        <v>-14937</v>
      </c>
      <c r="AI40" s="10">
        <v>-17395</v>
      </c>
      <c r="AJ40" s="92">
        <v>24961</v>
      </c>
      <c r="AK40" s="10">
        <v>34099</v>
      </c>
      <c r="AL40" s="10">
        <v>403745</v>
      </c>
      <c r="AM40" s="10">
        <v>687354</v>
      </c>
      <c r="AN40" s="10">
        <v>126643.84817753505</v>
      </c>
      <c r="AO40" s="10">
        <v>185734.23117753505</v>
      </c>
      <c r="AP40" s="10">
        <v>-12087</v>
      </c>
      <c r="AQ40" s="10">
        <v>-15263</v>
      </c>
      <c r="AR40" s="10">
        <v>12</v>
      </c>
      <c r="AS40" s="10">
        <v>33</v>
      </c>
      <c r="AT40" s="10">
        <v>21014</v>
      </c>
      <c r="AU40" s="10">
        <v>40381</v>
      </c>
      <c r="AV40" s="10">
        <v>924361</v>
      </c>
      <c r="AW40" s="10">
        <v>1596397</v>
      </c>
      <c r="AX40" s="10">
        <v>-96281</v>
      </c>
      <c r="AY40" s="10">
        <v>-89708</v>
      </c>
      <c r="AZ40" s="10">
        <v>14373</v>
      </c>
      <c r="BA40" s="10">
        <v>29325</v>
      </c>
      <c r="BB40" s="10">
        <v>24</v>
      </c>
      <c r="BC40" s="10">
        <v>32</v>
      </c>
      <c r="BD40" s="10"/>
      <c r="BE40" s="10"/>
      <c r="BF40" s="10">
        <v>96064</v>
      </c>
      <c r="BG40" s="10">
        <v>149563</v>
      </c>
      <c r="BH40" s="10">
        <v>125436</v>
      </c>
      <c r="BI40" s="10">
        <v>300898</v>
      </c>
      <c r="BJ40" s="10">
        <v>126685</v>
      </c>
      <c r="BK40" s="10">
        <v>179638</v>
      </c>
      <c r="BL40" s="108">
        <v>95228</v>
      </c>
      <c r="BM40" s="108">
        <v>180842</v>
      </c>
      <c r="BN40" s="10">
        <v>3792</v>
      </c>
      <c r="BO40" s="10">
        <v>8594</v>
      </c>
      <c r="BP40" s="88">
        <f t="shared" si="8"/>
        <v>3335817.848177535</v>
      </c>
      <c r="BQ40" s="88">
        <f t="shared" si="9"/>
        <v>5585466.2311775349</v>
      </c>
    </row>
    <row r="41" spans="1:69" x14ac:dyDescent="0.25">
      <c r="A41" s="30" t="s">
        <v>226</v>
      </c>
      <c r="B41" s="10">
        <v>5719</v>
      </c>
      <c r="C41" s="10">
        <v>11215</v>
      </c>
      <c r="D41" s="10">
        <v>125702</v>
      </c>
      <c r="E41" s="10">
        <v>220555</v>
      </c>
      <c r="F41" s="10"/>
      <c r="G41" s="10"/>
      <c r="H41" s="10">
        <v>246854</v>
      </c>
      <c r="I41" s="10">
        <v>571465</v>
      </c>
      <c r="J41" s="10">
        <v>-511</v>
      </c>
      <c r="K41" s="10">
        <v>50187</v>
      </c>
      <c r="L41" s="10">
        <v>107120</v>
      </c>
      <c r="M41" s="10">
        <v>150462</v>
      </c>
      <c r="N41" s="10"/>
      <c r="O41" s="10"/>
      <c r="P41" s="10">
        <v>21264</v>
      </c>
      <c r="Q41" s="10">
        <v>26999</v>
      </c>
      <c r="R41" s="10">
        <v>52750</v>
      </c>
      <c r="S41" s="10">
        <v>67892</v>
      </c>
      <c r="T41" s="10">
        <v>22601</v>
      </c>
      <c r="U41" s="10">
        <v>40309</v>
      </c>
      <c r="V41" s="10">
        <v>-224042</v>
      </c>
      <c r="W41" s="10">
        <v>-173945</v>
      </c>
      <c r="X41" s="10">
        <v>-28875</v>
      </c>
      <c r="Y41" s="10">
        <v>161881</v>
      </c>
      <c r="Z41" s="10">
        <v>16070</v>
      </c>
      <c r="AA41" s="10">
        <v>244867</v>
      </c>
      <c r="AB41" s="10">
        <v>212086</v>
      </c>
      <c r="AC41" s="10">
        <v>399425</v>
      </c>
      <c r="AD41" s="10">
        <v>41886</v>
      </c>
      <c r="AE41" s="10">
        <v>71314</v>
      </c>
      <c r="AF41" s="10">
        <v>45711</v>
      </c>
      <c r="AG41" s="10">
        <v>101710</v>
      </c>
      <c r="AH41" s="10">
        <v>3839</v>
      </c>
      <c r="AI41" s="10">
        <v>14780</v>
      </c>
      <c r="AJ41" s="92">
        <v>215017</v>
      </c>
      <c r="AK41" s="10">
        <v>362627</v>
      </c>
      <c r="AL41" s="10">
        <v>88245</v>
      </c>
      <c r="AM41" s="10">
        <v>152101</v>
      </c>
      <c r="AN41" s="10">
        <v>833080.03582246485</v>
      </c>
      <c r="AO41" s="10">
        <v>1496387.3808224648</v>
      </c>
      <c r="AP41" s="10">
        <v>-4142</v>
      </c>
      <c r="AQ41" s="10">
        <v>-6725</v>
      </c>
      <c r="AR41" s="10">
        <v>223</v>
      </c>
      <c r="AS41" s="10">
        <v>552</v>
      </c>
      <c r="AT41" s="10">
        <v>100778</v>
      </c>
      <c r="AU41" s="10">
        <v>257586</v>
      </c>
      <c r="AV41" s="10">
        <v>-106002</v>
      </c>
      <c r="AW41" s="10">
        <v>-162193</v>
      </c>
      <c r="AX41" s="10">
        <v>12363</v>
      </c>
      <c r="AY41" s="10">
        <v>106393</v>
      </c>
      <c r="AZ41" s="10">
        <v>207692</v>
      </c>
      <c r="BA41" s="10">
        <v>384401</v>
      </c>
      <c r="BB41" s="10">
        <v>319</v>
      </c>
      <c r="BC41" s="10">
        <v>317</v>
      </c>
      <c r="BD41" s="10"/>
      <c r="BE41" s="10"/>
      <c r="BF41" s="10">
        <v>252353</v>
      </c>
      <c r="BG41" s="10">
        <v>441750</v>
      </c>
      <c r="BH41" s="10">
        <v>1535351</v>
      </c>
      <c r="BI41" s="10">
        <v>3081065</v>
      </c>
      <c r="BJ41" s="10">
        <v>950647</v>
      </c>
      <c r="BK41" s="10">
        <v>1631076</v>
      </c>
      <c r="BL41" s="108">
        <v>607423</v>
      </c>
      <c r="BM41" s="108">
        <v>1259922</v>
      </c>
      <c r="BN41" s="10">
        <v>73749</v>
      </c>
      <c r="BO41" s="10">
        <v>119210</v>
      </c>
      <c r="BP41" s="88">
        <f t="shared" si="8"/>
        <v>5415270.0358224651</v>
      </c>
      <c r="BQ41" s="88">
        <f t="shared" si="9"/>
        <v>11083585.380822465</v>
      </c>
    </row>
    <row r="42" spans="1:69" x14ac:dyDescent="0.25">
      <c r="A42" s="28"/>
      <c r="U42" s="95"/>
    </row>
    <row r="43" spans="1:69" x14ac:dyDescent="0.25">
      <c r="A43" s="29" t="s">
        <v>221</v>
      </c>
    </row>
    <row r="44" spans="1:69" x14ac:dyDescent="0.25">
      <c r="A44" s="3" t="s">
        <v>0</v>
      </c>
      <c r="B44" s="116" t="s">
        <v>1</v>
      </c>
      <c r="C44" s="117"/>
      <c r="D44" s="116" t="s">
        <v>285</v>
      </c>
      <c r="E44" s="117"/>
      <c r="F44" s="116" t="s">
        <v>2</v>
      </c>
      <c r="G44" s="117"/>
      <c r="H44" s="116" t="s">
        <v>3</v>
      </c>
      <c r="I44" s="117"/>
      <c r="J44" s="116" t="s">
        <v>4</v>
      </c>
      <c r="K44" s="117"/>
      <c r="L44" s="116" t="s">
        <v>286</v>
      </c>
      <c r="M44" s="117"/>
      <c r="N44" s="116" t="s">
        <v>6</v>
      </c>
      <c r="O44" s="117"/>
      <c r="P44" s="116" t="s">
        <v>5</v>
      </c>
      <c r="Q44" s="117"/>
      <c r="R44" s="116" t="s">
        <v>7</v>
      </c>
      <c r="S44" s="117"/>
      <c r="T44" s="116" t="s">
        <v>287</v>
      </c>
      <c r="U44" s="117"/>
      <c r="V44" s="116" t="s">
        <v>8</v>
      </c>
      <c r="W44" s="117"/>
      <c r="X44" s="116" t="s">
        <v>288</v>
      </c>
      <c r="Y44" s="117"/>
      <c r="Z44" s="116" t="s">
        <v>9</v>
      </c>
      <c r="AA44" s="117"/>
      <c r="AB44" s="116" t="s">
        <v>10</v>
      </c>
      <c r="AC44" s="117"/>
      <c r="AD44" s="116" t="s">
        <v>289</v>
      </c>
      <c r="AE44" s="117"/>
      <c r="AF44" s="116" t="s">
        <v>11</v>
      </c>
      <c r="AG44" s="117"/>
      <c r="AH44" s="116" t="s">
        <v>12</v>
      </c>
      <c r="AI44" s="117"/>
      <c r="AJ44" s="116" t="s">
        <v>290</v>
      </c>
      <c r="AK44" s="117"/>
      <c r="AL44" s="116" t="s">
        <v>299</v>
      </c>
      <c r="AM44" s="117"/>
      <c r="AN44" s="116" t="s">
        <v>13</v>
      </c>
      <c r="AO44" s="117"/>
      <c r="AP44" s="116" t="s">
        <v>291</v>
      </c>
      <c r="AQ44" s="117"/>
      <c r="AR44" s="116" t="s">
        <v>292</v>
      </c>
      <c r="AS44" s="117"/>
      <c r="AT44" s="116" t="s">
        <v>307</v>
      </c>
      <c r="AU44" s="117"/>
      <c r="AV44" s="116" t="s">
        <v>293</v>
      </c>
      <c r="AW44" s="117"/>
      <c r="AX44" s="116" t="s">
        <v>14</v>
      </c>
      <c r="AY44" s="117"/>
      <c r="AZ44" s="116" t="s">
        <v>15</v>
      </c>
      <c r="BA44" s="117"/>
      <c r="BB44" s="116" t="s">
        <v>16</v>
      </c>
      <c r="BC44" s="117"/>
      <c r="BD44" s="116" t="s">
        <v>17</v>
      </c>
      <c r="BE44" s="117"/>
      <c r="BF44" s="116" t="s">
        <v>18</v>
      </c>
      <c r="BG44" s="117"/>
      <c r="BH44" s="116" t="s">
        <v>294</v>
      </c>
      <c r="BI44" s="117"/>
      <c r="BJ44" s="116" t="s">
        <v>295</v>
      </c>
      <c r="BK44" s="117"/>
      <c r="BL44" s="116" t="s">
        <v>19</v>
      </c>
      <c r="BM44" s="117"/>
      <c r="BN44" s="116" t="s">
        <v>20</v>
      </c>
      <c r="BO44" s="117"/>
      <c r="BP44" s="118" t="s">
        <v>21</v>
      </c>
      <c r="BQ44" s="119"/>
    </row>
    <row r="45" spans="1:69" ht="30" x14ac:dyDescent="0.25">
      <c r="A45" s="3"/>
      <c r="B45" s="67" t="s">
        <v>296</v>
      </c>
      <c r="C45" s="68" t="s">
        <v>297</v>
      </c>
      <c r="D45" s="67" t="s">
        <v>296</v>
      </c>
      <c r="E45" s="68" t="s">
        <v>297</v>
      </c>
      <c r="F45" s="67" t="s">
        <v>296</v>
      </c>
      <c r="G45" s="68" t="s">
        <v>297</v>
      </c>
      <c r="H45" s="67" t="s">
        <v>296</v>
      </c>
      <c r="I45" s="68" t="s">
        <v>297</v>
      </c>
      <c r="J45" s="67" t="s">
        <v>296</v>
      </c>
      <c r="K45" s="68" t="s">
        <v>297</v>
      </c>
      <c r="L45" s="67" t="s">
        <v>296</v>
      </c>
      <c r="M45" s="68" t="s">
        <v>297</v>
      </c>
      <c r="N45" s="67" t="s">
        <v>296</v>
      </c>
      <c r="O45" s="68" t="s">
        <v>297</v>
      </c>
      <c r="P45" s="67" t="s">
        <v>296</v>
      </c>
      <c r="Q45" s="68" t="s">
        <v>297</v>
      </c>
      <c r="R45" s="67" t="s">
        <v>296</v>
      </c>
      <c r="S45" s="68" t="s">
        <v>297</v>
      </c>
      <c r="T45" s="67" t="s">
        <v>296</v>
      </c>
      <c r="U45" s="68" t="s">
        <v>297</v>
      </c>
      <c r="V45" s="67" t="s">
        <v>296</v>
      </c>
      <c r="W45" s="68" t="s">
        <v>297</v>
      </c>
      <c r="X45" s="67" t="s">
        <v>296</v>
      </c>
      <c r="Y45" s="68" t="s">
        <v>297</v>
      </c>
      <c r="Z45" s="67" t="s">
        <v>296</v>
      </c>
      <c r="AA45" s="68" t="s">
        <v>297</v>
      </c>
      <c r="AB45" s="67" t="s">
        <v>296</v>
      </c>
      <c r="AC45" s="68" t="s">
        <v>297</v>
      </c>
      <c r="AD45" s="67" t="s">
        <v>296</v>
      </c>
      <c r="AE45" s="68" t="s">
        <v>297</v>
      </c>
      <c r="AF45" s="67" t="s">
        <v>296</v>
      </c>
      <c r="AG45" s="68" t="s">
        <v>297</v>
      </c>
      <c r="AH45" s="67" t="s">
        <v>296</v>
      </c>
      <c r="AI45" s="68" t="s">
        <v>297</v>
      </c>
      <c r="AJ45" s="67" t="s">
        <v>296</v>
      </c>
      <c r="AK45" s="68" t="s">
        <v>297</v>
      </c>
      <c r="AL45" s="67" t="s">
        <v>296</v>
      </c>
      <c r="AM45" s="68" t="s">
        <v>297</v>
      </c>
      <c r="AN45" s="67" t="s">
        <v>296</v>
      </c>
      <c r="AO45" s="68" t="s">
        <v>297</v>
      </c>
      <c r="AP45" s="67" t="s">
        <v>296</v>
      </c>
      <c r="AQ45" s="68" t="s">
        <v>297</v>
      </c>
      <c r="AR45" s="67" t="s">
        <v>296</v>
      </c>
      <c r="AS45" s="68" t="s">
        <v>297</v>
      </c>
      <c r="AT45" s="67" t="s">
        <v>296</v>
      </c>
      <c r="AU45" s="68" t="s">
        <v>297</v>
      </c>
      <c r="AV45" s="67" t="s">
        <v>296</v>
      </c>
      <c r="AW45" s="68" t="s">
        <v>297</v>
      </c>
      <c r="AX45" s="67" t="s">
        <v>296</v>
      </c>
      <c r="AY45" s="68" t="s">
        <v>297</v>
      </c>
      <c r="AZ45" s="67" t="s">
        <v>296</v>
      </c>
      <c r="BA45" s="68" t="s">
        <v>297</v>
      </c>
      <c r="BB45" s="67" t="s">
        <v>296</v>
      </c>
      <c r="BC45" s="68" t="s">
        <v>297</v>
      </c>
      <c r="BD45" s="67" t="s">
        <v>296</v>
      </c>
      <c r="BE45" s="68" t="s">
        <v>297</v>
      </c>
      <c r="BF45" s="67" t="s">
        <v>296</v>
      </c>
      <c r="BG45" s="68" t="s">
        <v>297</v>
      </c>
      <c r="BH45" s="67" t="s">
        <v>296</v>
      </c>
      <c r="BI45" s="68" t="s">
        <v>297</v>
      </c>
      <c r="BJ45" s="67" t="s">
        <v>296</v>
      </c>
      <c r="BK45" s="68" t="s">
        <v>297</v>
      </c>
      <c r="BL45" s="67" t="s">
        <v>296</v>
      </c>
      <c r="BM45" s="68" t="s">
        <v>297</v>
      </c>
      <c r="BN45" s="67" t="s">
        <v>296</v>
      </c>
      <c r="BO45" s="68" t="s">
        <v>297</v>
      </c>
      <c r="BP45" s="84" t="s">
        <v>280</v>
      </c>
      <c r="BQ45" s="85" t="s">
        <v>281</v>
      </c>
    </row>
    <row r="46" spans="1:69" x14ac:dyDescent="0.25">
      <c r="A46" s="30" t="s">
        <v>225</v>
      </c>
      <c r="B46" s="10">
        <v>40</v>
      </c>
      <c r="C46" s="10">
        <v>388</v>
      </c>
      <c r="D46" s="10">
        <v>34685</v>
      </c>
      <c r="E46" s="10">
        <v>55438</v>
      </c>
      <c r="F46" s="10"/>
      <c r="G46" s="10"/>
      <c r="H46" s="10">
        <v>54664</v>
      </c>
      <c r="I46" s="10">
        <v>105730</v>
      </c>
      <c r="J46" s="10">
        <v>10476</v>
      </c>
      <c r="K46" s="10">
        <v>16046</v>
      </c>
      <c r="L46" s="10">
        <v>71780</v>
      </c>
      <c r="M46" s="10">
        <v>127422</v>
      </c>
      <c r="N46" s="10"/>
      <c r="O46" s="10"/>
      <c r="P46" s="10">
        <v>272</v>
      </c>
      <c r="Q46" s="10">
        <v>1631</v>
      </c>
      <c r="R46" s="10">
        <v>18224</v>
      </c>
      <c r="S46" s="10">
        <v>31282</v>
      </c>
      <c r="T46" s="10">
        <v>193</v>
      </c>
      <c r="U46" s="10">
        <v>279</v>
      </c>
      <c r="V46" s="10">
        <v>153692</v>
      </c>
      <c r="W46" s="10">
        <v>228145</v>
      </c>
      <c r="X46" s="10">
        <v>18962</v>
      </c>
      <c r="Y46" s="10">
        <v>34922</v>
      </c>
      <c r="Z46" s="10">
        <v>77229</v>
      </c>
      <c r="AA46" s="10">
        <v>122025</v>
      </c>
      <c r="AB46" s="10">
        <v>33863</v>
      </c>
      <c r="AC46" s="10">
        <v>62618</v>
      </c>
      <c r="AD46" s="10">
        <v>1591</v>
      </c>
      <c r="AE46" s="10">
        <v>1826</v>
      </c>
      <c r="AF46" s="10">
        <v>4664</v>
      </c>
      <c r="AG46" s="10">
        <v>9168</v>
      </c>
      <c r="AH46" s="10">
        <v>411</v>
      </c>
      <c r="AI46" s="10">
        <v>556</v>
      </c>
      <c r="AJ46" s="92">
        <v>2689</v>
      </c>
      <c r="AK46" s="10">
        <v>4058</v>
      </c>
      <c r="AL46" s="10">
        <v>21516</v>
      </c>
      <c r="AM46" s="10">
        <v>29522</v>
      </c>
      <c r="AN46" s="10">
        <v>24957.983999999997</v>
      </c>
      <c r="AO46" s="10">
        <v>45911.928999999996</v>
      </c>
      <c r="AP46" s="10">
        <v>2025</v>
      </c>
      <c r="AQ46" s="10">
        <v>2243</v>
      </c>
      <c r="AR46" s="10">
        <v>4</v>
      </c>
      <c r="AS46" s="10">
        <v>32</v>
      </c>
      <c r="AT46" s="10">
        <v>7024</v>
      </c>
      <c r="AU46" s="10">
        <v>13466</v>
      </c>
      <c r="AV46" s="10">
        <v>80621</v>
      </c>
      <c r="AW46" s="10">
        <v>112697</v>
      </c>
      <c r="AX46" s="10">
        <v>18887</v>
      </c>
      <c r="AY46" s="10">
        <v>37918</v>
      </c>
      <c r="AZ46" s="10">
        <v>249492</v>
      </c>
      <c r="BA46" s="10">
        <v>360139</v>
      </c>
      <c r="BB46" s="10">
        <v>2056</v>
      </c>
      <c r="BC46" s="10">
        <v>3702</v>
      </c>
      <c r="BD46" s="10"/>
      <c r="BE46" s="10"/>
      <c r="BF46" s="10">
        <v>29829</v>
      </c>
      <c r="BG46" s="10">
        <v>57884</v>
      </c>
      <c r="BH46" s="10">
        <v>61455</v>
      </c>
      <c r="BI46" s="10">
        <v>182725</v>
      </c>
      <c r="BJ46" s="10">
        <v>30352</v>
      </c>
      <c r="BK46" s="10">
        <v>54510</v>
      </c>
      <c r="BL46" s="108">
        <v>86661</v>
      </c>
      <c r="BM46" s="108">
        <v>129719</v>
      </c>
      <c r="BN46" s="10">
        <v>13020</v>
      </c>
      <c r="BO46" s="10">
        <v>57002</v>
      </c>
      <c r="BP46" s="88">
        <f t="shared" ref="BP46:BP49" si="10">SUM(B46+D46+F46+H46+J46+L46+N46+P46+R46+T46+V46+X46+Z46+AB46+AD46+AF46+AH46+AJ46+AL46+AN46+AP46+AR46+AT46+AV46+AX46+AZ46+BB46+BD46+BF46+BH46+BJ46+BL46+BN46)</f>
        <v>1111334.9839999999</v>
      </c>
      <c r="BQ46" s="88">
        <f t="shared" ref="BQ46:BQ49" si="11">SUM(C46+E46+G46+I46+K46+M46+O46+Q46+S46+U46+W46+Y46+AA46+AC46+AE46+AG46+AI46+AK46+AM46+AO46+AQ46+AS46+AU46+AW46+AY46+BA46+BC46+BE46+BG46+BI46+BK46+BM46+BO46)</f>
        <v>1889004.929</v>
      </c>
    </row>
    <row r="47" spans="1:69" x14ac:dyDescent="0.25">
      <c r="A47" s="30" t="s">
        <v>276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>
        <v>8</v>
      </c>
      <c r="Q47" s="10">
        <v>8</v>
      </c>
      <c r="R47" s="10"/>
      <c r="S47" s="10"/>
      <c r="T47" s="10"/>
      <c r="U47" s="10"/>
      <c r="V47" s="10">
        <v>-325</v>
      </c>
      <c r="W47" s="10">
        <v>295</v>
      </c>
      <c r="X47" s="10"/>
      <c r="Y47" s="10"/>
      <c r="Z47" s="10">
        <v>110</v>
      </c>
      <c r="AA47" s="10">
        <v>110</v>
      </c>
      <c r="AB47" s="10"/>
      <c r="AC47" s="10"/>
      <c r="AD47" s="10"/>
      <c r="AE47" s="10"/>
      <c r="AF47" s="10"/>
      <c r="AG47" s="10"/>
      <c r="AH47" s="10">
        <v>-1</v>
      </c>
      <c r="AI47" s="10">
        <v>-1</v>
      </c>
      <c r="AJ47" s="92"/>
      <c r="AK47" s="10"/>
      <c r="AL47" s="10"/>
      <c r="AM47" s="10"/>
      <c r="AN47" s="10">
        <v>0</v>
      </c>
      <c r="AO47" s="10">
        <v>0</v>
      </c>
      <c r="AP47" s="10"/>
      <c r="AQ47" s="10"/>
      <c r="AR47" s="10"/>
      <c r="AS47" s="10"/>
      <c r="AT47" s="10"/>
      <c r="AU47" s="10"/>
      <c r="AV47" s="10"/>
      <c r="AW47" s="10"/>
      <c r="AX47" s="10">
        <v>4</v>
      </c>
      <c r="AY47" s="10">
        <v>69</v>
      </c>
      <c r="AZ47" s="10"/>
      <c r="BA47" s="10"/>
      <c r="BB47" s="10"/>
      <c r="BC47" s="10"/>
      <c r="BD47" s="10"/>
      <c r="BE47" s="10"/>
      <c r="BF47" s="10">
        <v>-635</v>
      </c>
      <c r="BG47" s="10">
        <v>-635</v>
      </c>
      <c r="BH47" s="10">
        <v>4487</v>
      </c>
      <c r="BI47" s="10">
        <v>7310</v>
      </c>
      <c r="BJ47" s="10">
        <v>2516</v>
      </c>
      <c r="BK47" s="10">
        <v>2516</v>
      </c>
      <c r="BL47" s="108">
        <v>0</v>
      </c>
      <c r="BM47" s="108">
        <v>0</v>
      </c>
      <c r="BN47" s="10"/>
      <c r="BO47" s="10"/>
      <c r="BP47" s="88">
        <f t="shared" si="10"/>
        <v>6164</v>
      </c>
      <c r="BQ47" s="88">
        <f t="shared" si="11"/>
        <v>9672</v>
      </c>
    </row>
    <row r="48" spans="1:69" x14ac:dyDescent="0.25">
      <c r="A48" s="30" t="s">
        <v>277</v>
      </c>
      <c r="B48" s="10">
        <v>112</v>
      </c>
      <c r="C48" s="10">
        <v>154</v>
      </c>
      <c r="D48" s="10">
        <v>1652</v>
      </c>
      <c r="E48" s="10">
        <v>2702</v>
      </c>
      <c r="F48" s="10"/>
      <c r="G48" s="10"/>
      <c r="H48" s="10">
        <v>3674</v>
      </c>
      <c r="I48" s="10">
        <v>7741</v>
      </c>
      <c r="J48" s="10">
        <v>933</v>
      </c>
      <c r="K48" s="10">
        <v>1655</v>
      </c>
      <c r="L48" s="10">
        <v>144332</v>
      </c>
      <c r="M48" s="10">
        <v>203558</v>
      </c>
      <c r="N48" s="10"/>
      <c r="O48" s="10"/>
      <c r="P48" s="10">
        <v>545</v>
      </c>
      <c r="Q48" s="10">
        <v>656</v>
      </c>
      <c r="R48" s="10">
        <v>2701</v>
      </c>
      <c r="S48" s="10">
        <v>4792</v>
      </c>
      <c r="T48" s="10">
        <v>240</v>
      </c>
      <c r="U48" s="10">
        <v>485</v>
      </c>
      <c r="V48" s="10">
        <v>-213545</v>
      </c>
      <c r="W48" s="10">
        <v>-301192</v>
      </c>
      <c r="X48" s="10">
        <v>2454</v>
      </c>
      <c r="Y48" s="10">
        <v>15546</v>
      </c>
      <c r="Z48" s="10">
        <v>25195</v>
      </c>
      <c r="AA48" s="10">
        <v>16376</v>
      </c>
      <c r="AB48" s="10">
        <v>3457</v>
      </c>
      <c r="AC48" s="10">
        <v>8573</v>
      </c>
      <c r="AD48" s="10">
        <v>21653</v>
      </c>
      <c r="AE48" s="10">
        <v>36138</v>
      </c>
      <c r="AF48" s="10">
        <v>447</v>
      </c>
      <c r="AG48" s="10">
        <v>756</v>
      </c>
      <c r="AH48" s="10">
        <v>-60</v>
      </c>
      <c r="AI48" s="10">
        <v>-167</v>
      </c>
      <c r="AJ48" s="92">
        <v>1874</v>
      </c>
      <c r="AK48" s="10">
        <v>1974</v>
      </c>
      <c r="AL48" s="10">
        <v>2727</v>
      </c>
      <c r="AM48" s="10">
        <v>12847</v>
      </c>
      <c r="AN48" s="10">
        <v>10117.120228500004</v>
      </c>
      <c r="AO48" s="10">
        <v>35515.388167600002</v>
      </c>
      <c r="AP48" s="10">
        <v>-3950</v>
      </c>
      <c r="AQ48" s="10">
        <v>-4453</v>
      </c>
      <c r="AR48" s="10">
        <v>3</v>
      </c>
      <c r="AS48" s="10">
        <v>55</v>
      </c>
      <c r="AT48" s="10">
        <v>1584</v>
      </c>
      <c r="AU48" s="10">
        <v>2240</v>
      </c>
      <c r="AV48" s="10">
        <v>1444</v>
      </c>
      <c r="AW48" s="10">
        <v>6561</v>
      </c>
      <c r="AX48" s="10">
        <v>-8334</v>
      </c>
      <c r="AY48" s="10">
        <v>-12106</v>
      </c>
      <c r="AZ48" s="10">
        <v>18255</v>
      </c>
      <c r="BA48" s="10">
        <v>26133</v>
      </c>
      <c r="BB48" s="10">
        <v>1663</v>
      </c>
      <c r="BC48" s="10">
        <v>2938</v>
      </c>
      <c r="BD48" s="10"/>
      <c r="BE48" s="10"/>
      <c r="BF48" s="10">
        <v>2791</v>
      </c>
      <c r="BG48" s="10">
        <v>6155</v>
      </c>
      <c r="BH48" s="10">
        <v>5560</v>
      </c>
      <c r="BI48" s="10">
        <v>26389</v>
      </c>
      <c r="BJ48" s="10">
        <v>21487</v>
      </c>
      <c r="BK48" s="10">
        <v>28728</v>
      </c>
      <c r="BL48" s="108">
        <v>62802</v>
      </c>
      <c r="BM48" s="108">
        <v>144359</v>
      </c>
      <c r="BN48" s="10">
        <v>5952</v>
      </c>
      <c r="BO48" s="10">
        <v>18625</v>
      </c>
      <c r="BP48" s="88">
        <f t="shared" si="10"/>
        <v>117765.1202285</v>
      </c>
      <c r="BQ48" s="88">
        <f t="shared" si="11"/>
        <v>293733.38816760003</v>
      </c>
    </row>
    <row r="49" spans="1:69" x14ac:dyDescent="0.25">
      <c r="A49" s="30" t="s">
        <v>226</v>
      </c>
      <c r="B49" s="10">
        <v>-72</v>
      </c>
      <c r="C49" s="10">
        <v>234</v>
      </c>
      <c r="D49" s="10">
        <v>33033</v>
      </c>
      <c r="E49" s="10">
        <v>52736</v>
      </c>
      <c r="F49" s="10"/>
      <c r="G49" s="10"/>
      <c r="H49" s="10">
        <v>50990</v>
      </c>
      <c r="I49" s="10">
        <v>97989</v>
      </c>
      <c r="J49" s="10">
        <v>9543</v>
      </c>
      <c r="K49" s="10">
        <v>14391</v>
      </c>
      <c r="L49" s="10">
        <v>-72552</v>
      </c>
      <c r="M49" s="10">
        <v>-76136</v>
      </c>
      <c r="N49" s="10"/>
      <c r="O49" s="10"/>
      <c r="P49" s="10">
        <v>-265</v>
      </c>
      <c r="Q49" s="10">
        <v>983</v>
      </c>
      <c r="R49" s="10">
        <v>15523</v>
      </c>
      <c r="S49" s="10">
        <v>26490</v>
      </c>
      <c r="T49" s="10">
        <v>-47</v>
      </c>
      <c r="U49" s="10">
        <v>-206</v>
      </c>
      <c r="V49" s="10">
        <v>-60178</v>
      </c>
      <c r="W49" s="10">
        <v>-72752</v>
      </c>
      <c r="X49" s="10">
        <v>16508</v>
      </c>
      <c r="Y49" s="10">
        <v>19376</v>
      </c>
      <c r="Z49" s="10">
        <v>52144</v>
      </c>
      <c r="AA49" s="10">
        <v>105759</v>
      </c>
      <c r="AB49" s="10">
        <v>30406</v>
      </c>
      <c r="AC49" s="10">
        <v>54045</v>
      </c>
      <c r="AD49" s="10">
        <v>-20062</v>
      </c>
      <c r="AE49" s="10">
        <v>-34312</v>
      </c>
      <c r="AF49" s="10">
        <v>4218</v>
      </c>
      <c r="AG49" s="10">
        <v>8412</v>
      </c>
      <c r="AH49" s="10">
        <v>350</v>
      </c>
      <c r="AI49" s="10">
        <v>388</v>
      </c>
      <c r="AJ49" s="92">
        <v>815</v>
      </c>
      <c r="AK49" s="10">
        <v>2084</v>
      </c>
      <c r="AL49" s="10">
        <v>18789</v>
      </c>
      <c r="AM49" s="10">
        <v>16675</v>
      </c>
      <c r="AN49" s="10">
        <v>14840.863771499993</v>
      </c>
      <c r="AO49" s="10">
        <v>10396.540832399995</v>
      </c>
      <c r="AP49" s="10">
        <v>-1925</v>
      </c>
      <c r="AQ49" s="10">
        <v>-2210</v>
      </c>
      <c r="AR49" s="10">
        <v>1</v>
      </c>
      <c r="AS49" s="10">
        <v>-23</v>
      </c>
      <c r="AT49" s="10">
        <v>5440</v>
      </c>
      <c r="AU49" s="10">
        <v>11226</v>
      </c>
      <c r="AV49" s="10">
        <v>79177</v>
      </c>
      <c r="AW49" s="10">
        <v>106136</v>
      </c>
      <c r="AX49" s="10">
        <v>10557</v>
      </c>
      <c r="AY49" s="10">
        <v>25881</v>
      </c>
      <c r="AZ49" s="10">
        <v>231237</v>
      </c>
      <c r="BA49" s="10">
        <v>334006</v>
      </c>
      <c r="BB49" s="10">
        <v>393</v>
      </c>
      <c r="BC49" s="10">
        <v>765</v>
      </c>
      <c r="BD49" s="10"/>
      <c r="BE49" s="10"/>
      <c r="BF49" s="10">
        <v>26403</v>
      </c>
      <c r="BG49" s="10">
        <v>51094</v>
      </c>
      <c r="BH49" s="10">
        <v>60382</v>
      </c>
      <c r="BI49" s="10">
        <v>163647</v>
      </c>
      <c r="BJ49" s="10">
        <v>11381</v>
      </c>
      <c r="BK49" s="10">
        <v>28298</v>
      </c>
      <c r="BL49" s="108">
        <v>23859</v>
      </c>
      <c r="BM49" s="108">
        <v>-14640</v>
      </c>
      <c r="BN49" s="10">
        <v>7068</v>
      </c>
      <c r="BO49" s="10">
        <v>38377</v>
      </c>
      <c r="BP49" s="88">
        <f t="shared" si="10"/>
        <v>547956.86377150007</v>
      </c>
      <c r="BQ49" s="88">
        <f t="shared" si="11"/>
        <v>969109.54083239997</v>
      </c>
    </row>
    <row r="50" spans="1:69" x14ac:dyDescent="0.25">
      <c r="A50" s="28"/>
      <c r="U50" s="95"/>
    </row>
    <row r="51" spans="1:69" x14ac:dyDescent="0.25">
      <c r="A51" s="29" t="s">
        <v>222</v>
      </c>
    </row>
    <row r="52" spans="1:69" x14ac:dyDescent="0.25">
      <c r="A52" s="3" t="s">
        <v>0</v>
      </c>
      <c r="B52" s="116" t="s">
        <v>1</v>
      </c>
      <c r="C52" s="117"/>
      <c r="D52" s="116" t="s">
        <v>285</v>
      </c>
      <c r="E52" s="117"/>
      <c r="F52" s="116" t="s">
        <v>2</v>
      </c>
      <c r="G52" s="117"/>
      <c r="H52" s="116" t="s">
        <v>3</v>
      </c>
      <c r="I52" s="117"/>
      <c r="J52" s="116" t="s">
        <v>4</v>
      </c>
      <c r="K52" s="117"/>
      <c r="L52" s="116" t="s">
        <v>286</v>
      </c>
      <c r="M52" s="117"/>
      <c r="N52" s="116" t="s">
        <v>6</v>
      </c>
      <c r="O52" s="117"/>
      <c r="P52" s="116" t="s">
        <v>5</v>
      </c>
      <c r="Q52" s="117"/>
      <c r="R52" s="116" t="s">
        <v>7</v>
      </c>
      <c r="S52" s="117"/>
      <c r="T52" s="116" t="s">
        <v>287</v>
      </c>
      <c r="U52" s="117"/>
      <c r="V52" s="116" t="s">
        <v>8</v>
      </c>
      <c r="W52" s="117"/>
      <c r="X52" s="116" t="s">
        <v>288</v>
      </c>
      <c r="Y52" s="117"/>
      <c r="Z52" s="116" t="s">
        <v>9</v>
      </c>
      <c r="AA52" s="117"/>
      <c r="AB52" s="116" t="s">
        <v>10</v>
      </c>
      <c r="AC52" s="117"/>
      <c r="AD52" s="116" t="s">
        <v>289</v>
      </c>
      <c r="AE52" s="117"/>
      <c r="AF52" s="116" t="s">
        <v>11</v>
      </c>
      <c r="AG52" s="117"/>
      <c r="AH52" s="116" t="s">
        <v>12</v>
      </c>
      <c r="AI52" s="117"/>
      <c r="AJ52" s="116" t="s">
        <v>290</v>
      </c>
      <c r="AK52" s="117"/>
      <c r="AL52" s="116" t="s">
        <v>299</v>
      </c>
      <c r="AM52" s="117"/>
      <c r="AN52" s="116" t="s">
        <v>13</v>
      </c>
      <c r="AO52" s="117"/>
      <c r="AP52" s="116" t="s">
        <v>291</v>
      </c>
      <c r="AQ52" s="117"/>
      <c r="AR52" s="116" t="s">
        <v>292</v>
      </c>
      <c r="AS52" s="117"/>
      <c r="AT52" s="116" t="s">
        <v>307</v>
      </c>
      <c r="AU52" s="117"/>
      <c r="AV52" s="116" t="s">
        <v>293</v>
      </c>
      <c r="AW52" s="117"/>
      <c r="AX52" s="116" t="s">
        <v>14</v>
      </c>
      <c r="AY52" s="117"/>
      <c r="AZ52" s="116" t="s">
        <v>15</v>
      </c>
      <c r="BA52" s="117"/>
      <c r="BB52" s="116" t="s">
        <v>16</v>
      </c>
      <c r="BC52" s="117"/>
      <c r="BD52" s="116" t="s">
        <v>17</v>
      </c>
      <c r="BE52" s="117"/>
      <c r="BF52" s="116" t="s">
        <v>18</v>
      </c>
      <c r="BG52" s="117"/>
      <c r="BH52" s="116" t="s">
        <v>294</v>
      </c>
      <c r="BI52" s="117"/>
      <c r="BJ52" s="116" t="s">
        <v>295</v>
      </c>
      <c r="BK52" s="117"/>
      <c r="BL52" s="116" t="s">
        <v>19</v>
      </c>
      <c r="BM52" s="117"/>
      <c r="BN52" s="116" t="s">
        <v>20</v>
      </c>
      <c r="BO52" s="117"/>
      <c r="BP52" s="118" t="s">
        <v>21</v>
      </c>
      <c r="BQ52" s="119"/>
    </row>
    <row r="53" spans="1:69" ht="30" x14ac:dyDescent="0.25">
      <c r="A53" s="3"/>
      <c r="B53" s="67" t="s">
        <v>296</v>
      </c>
      <c r="C53" s="68" t="s">
        <v>297</v>
      </c>
      <c r="D53" s="67" t="s">
        <v>296</v>
      </c>
      <c r="E53" s="68" t="s">
        <v>297</v>
      </c>
      <c r="F53" s="67" t="s">
        <v>296</v>
      </c>
      <c r="G53" s="68" t="s">
        <v>297</v>
      </c>
      <c r="H53" s="67" t="s">
        <v>296</v>
      </c>
      <c r="I53" s="68" t="s">
        <v>297</v>
      </c>
      <c r="J53" s="67" t="s">
        <v>296</v>
      </c>
      <c r="K53" s="68" t="s">
        <v>297</v>
      </c>
      <c r="L53" s="67" t="s">
        <v>296</v>
      </c>
      <c r="M53" s="68" t="s">
        <v>297</v>
      </c>
      <c r="N53" s="67" t="s">
        <v>296</v>
      </c>
      <c r="O53" s="68" t="s">
        <v>297</v>
      </c>
      <c r="P53" s="67" t="s">
        <v>296</v>
      </c>
      <c r="Q53" s="68" t="s">
        <v>297</v>
      </c>
      <c r="R53" s="67" t="s">
        <v>296</v>
      </c>
      <c r="S53" s="68" t="s">
        <v>297</v>
      </c>
      <c r="T53" s="67" t="s">
        <v>296</v>
      </c>
      <c r="U53" s="68" t="s">
        <v>297</v>
      </c>
      <c r="V53" s="67" t="s">
        <v>296</v>
      </c>
      <c r="W53" s="68" t="s">
        <v>297</v>
      </c>
      <c r="X53" s="67" t="s">
        <v>296</v>
      </c>
      <c r="Y53" s="68" t="s">
        <v>297</v>
      </c>
      <c r="Z53" s="67" t="s">
        <v>296</v>
      </c>
      <c r="AA53" s="68" t="s">
        <v>297</v>
      </c>
      <c r="AB53" s="67" t="s">
        <v>296</v>
      </c>
      <c r="AC53" s="68" t="s">
        <v>297</v>
      </c>
      <c r="AD53" s="67" t="s">
        <v>296</v>
      </c>
      <c r="AE53" s="68" t="s">
        <v>297</v>
      </c>
      <c r="AF53" s="67" t="s">
        <v>296</v>
      </c>
      <c r="AG53" s="68" t="s">
        <v>297</v>
      </c>
      <c r="AH53" s="67" t="s">
        <v>296</v>
      </c>
      <c r="AI53" s="68" t="s">
        <v>297</v>
      </c>
      <c r="AJ53" s="67" t="s">
        <v>296</v>
      </c>
      <c r="AK53" s="68" t="s">
        <v>297</v>
      </c>
      <c r="AL53" s="67" t="s">
        <v>296</v>
      </c>
      <c r="AM53" s="68" t="s">
        <v>297</v>
      </c>
      <c r="AN53" s="67" t="s">
        <v>296</v>
      </c>
      <c r="AO53" s="68" t="s">
        <v>297</v>
      </c>
      <c r="AP53" s="67" t="s">
        <v>296</v>
      </c>
      <c r="AQ53" s="68" t="s">
        <v>297</v>
      </c>
      <c r="AR53" s="67" t="s">
        <v>296</v>
      </c>
      <c r="AS53" s="68" t="s">
        <v>297</v>
      </c>
      <c r="AT53" s="67" t="s">
        <v>296</v>
      </c>
      <c r="AU53" s="68" t="s">
        <v>297</v>
      </c>
      <c r="AV53" s="67" t="s">
        <v>296</v>
      </c>
      <c r="AW53" s="68" t="s">
        <v>297</v>
      </c>
      <c r="AX53" s="67" t="s">
        <v>296</v>
      </c>
      <c r="AY53" s="68" t="s">
        <v>297</v>
      </c>
      <c r="AZ53" s="67" t="s">
        <v>296</v>
      </c>
      <c r="BA53" s="68" t="s">
        <v>297</v>
      </c>
      <c r="BB53" s="67" t="s">
        <v>296</v>
      </c>
      <c r="BC53" s="68" t="s">
        <v>297</v>
      </c>
      <c r="BD53" s="67" t="s">
        <v>296</v>
      </c>
      <c r="BE53" s="68" t="s">
        <v>297</v>
      </c>
      <c r="BF53" s="67" t="s">
        <v>296</v>
      </c>
      <c r="BG53" s="68" t="s">
        <v>297</v>
      </c>
      <c r="BH53" s="67" t="s">
        <v>296</v>
      </c>
      <c r="BI53" s="68" t="s">
        <v>297</v>
      </c>
      <c r="BJ53" s="67" t="s">
        <v>296</v>
      </c>
      <c r="BK53" s="68" t="s">
        <v>297</v>
      </c>
      <c r="BL53" s="67" t="s">
        <v>296</v>
      </c>
      <c r="BM53" s="68" t="s">
        <v>297</v>
      </c>
      <c r="BN53" s="67" t="s">
        <v>296</v>
      </c>
      <c r="BO53" s="68" t="s">
        <v>297</v>
      </c>
      <c r="BP53" s="84" t="s">
        <v>280</v>
      </c>
      <c r="BQ53" s="85" t="s">
        <v>281</v>
      </c>
    </row>
    <row r="54" spans="1:69" x14ac:dyDescent="0.25">
      <c r="A54" s="30" t="s">
        <v>225</v>
      </c>
      <c r="B54" s="10"/>
      <c r="C54" s="10"/>
      <c r="D54" s="10"/>
      <c r="E54" s="10"/>
      <c r="F54" s="10"/>
      <c r="G54" s="10"/>
      <c r="H54" s="10">
        <v>5128</v>
      </c>
      <c r="I54" s="10">
        <v>19609</v>
      </c>
      <c r="J54" s="10">
        <v>11148</v>
      </c>
      <c r="K54" s="10">
        <v>20107</v>
      </c>
      <c r="L54" s="10">
        <v>2152</v>
      </c>
      <c r="M54" s="10">
        <v>3329</v>
      </c>
      <c r="N54" s="10"/>
      <c r="O54" s="10"/>
      <c r="P54" s="10"/>
      <c r="Q54" s="10"/>
      <c r="R54" s="10">
        <v>4900</v>
      </c>
      <c r="S54" s="10">
        <v>12195</v>
      </c>
      <c r="T54" s="10"/>
      <c r="U54" s="10"/>
      <c r="V54" s="10">
        <v>593</v>
      </c>
      <c r="W54" s="10">
        <v>1054</v>
      </c>
      <c r="X54" s="10"/>
      <c r="Y54" s="10"/>
      <c r="Z54" s="10">
        <v>8403</v>
      </c>
      <c r="AA54" s="10">
        <v>20136</v>
      </c>
      <c r="AB54" s="10">
        <v>23606</v>
      </c>
      <c r="AC54" s="10">
        <v>54036</v>
      </c>
      <c r="AD54" s="10"/>
      <c r="AE54" s="10"/>
      <c r="AF54" s="10">
        <v>3504</v>
      </c>
      <c r="AG54" s="10">
        <v>7530</v>
      </c>
      <c r="AH54" s="10">
        <v>33</v>
      </c>
      <c r="AI54" s="10">
        <v>49</v>
      </c>
      <c r="AJ54" s="92"/>
      <c r="AK54" s="10"/>
      <c r="AL54" s="10"/>
      <c r="AM54" s="10"/>
      <c r="AN54" s="10">
        <v>26778.786149999996</v>
      </c>
      <c r="AO54" s="10">
        <v>39253.723509999996</v>
      </c>
      <c r="AP54" s="10"/>
      <c r="AQ54" s="10"/>
      <c r="AR54" s="10">
        <v>1706</v>
      </c>
      <c r="AS54" s="10">
        <v>3337</v>
      </c>
      <c r="AT54" s="10">
        <v>6684</v>
      </c>
      <c r="AU54" s="10">
        <v>16883</v>
      </c>
      <c r="AV54" s="10"/>
      <c r="AW54" s="10"/>
      <c r="AX54" s="10">
        <v>1809</v>
      </c>
      <c r="AY54" s="10">
        <v>2960</v>
      </c>
      <c r="AZ54" s="10">
        <v>9283</v>
      </c>
      <c r="BA54" s="10">
        <v>18726</v>
      </c>
      <c r="BB54" s="10">
        <v>138</v>
      </c>
      <c r="BC54" s="10">
        <v>415</v>
      </c>
      <c r="BD54" s="10"/>
      <c r="BE54" s="10"/>
      <c r="BF54" s="10">
        <v>116198</v>
      </c>
      <c r="BG54" s="10">
        <v>250679</v>
      </c>
      <c r="BH54" s="10">
        <v>176145</v>
      </c>
      <c r="BI54" s="10">
        <v>433040</v>
      </c>
      <c r="BJ54" s="10">
        <v>18387</v>
      </c>
      <c r="BK54" s="10">
        <v>34001</v>
      </c>
      <c r="BL54" s="108">
        <v>41275</v>
      </c>
      <c r="BM54" s="108">
        <v>60868</v>
      </c>
      <c r="BN54" s="10">
        <v>902</v>
      </c>
      <c r="BO54" s="10">
        <v>2696</v>
      </c>
      <c r="BP54" s="88">
        <f t="shared" ref="BP54:BP57" si="12">SUM(B54+D54+F54+H54+J54+L54+N54+P54+R54+T54+V54+X54+Z54+AB54+AD54+AF54+AH54+AJ54+AL54+AN54+AP54+AR54+AT54+AV54+AX54+AZ54+BB54+BD54+BF54+BH54+BJ54+BL54+BN54)</f>
        <v>458772.78615</v>
      </c>
      <c r="BQ54" s="88">
        <f t="shared" ref="BQ54:BQ57" si="13">SUM(C54+E54+G54+I54+K54+M54+O54+Q54+S54+U54+W54+Y54+AA54+AC54+AE54+AG54+AI54+AK54+AM54+AO54+AQ54+AS54+AU54+AW54+AY54+BA54+BC54+BE54+BG54+BI54+BK54+BM54+BO54)</f>
        <v>1000903.7235099999</v>
      </c>
    </row>
    <row r="55" spans="1:69" x14ac:dyDescent="0.25">
      <c r="A55" s="30" t="s">
        <v>276</v>
      </c>
      <c r="B55" s="10"/>
      <c r="C55" s="10"/>
      <c r="D55" s="10"/>
      <c r="E55" s="10"/>
      <c r="F55" s="10"/>
      <c r="G55" s="10"/>
      <c r="H55" s="10"/>
      <c r="I55" s="10"/>
      <c r="J55" s="10">
        <v>38</v>
      </c>
      <c r="K55" s="10">
        <v>47</v>
      </c>
      <c r="L55" s="10"/>
      <c r="M55" s="10"/>
      <c r="N55" s="10"/>
      <c r="O55" s="10"/>
      <c r="P55" s="10"/>
      <c r="Q55" s="10"/>
      <c r="R55" s="10">
        <v>1685</v>
      </c>
      <c r="S55" s="10">
        <v>3129</v>
      </c>
      <c r="T55" s="10"/>
      <c r="U55" s="10"/>
      <c r="V55" s="10">
        <v>-69</v>
      </c>
      <c r="W55" s="10">
        <v>134</v>
      </c>
      <c r="X55" s="10"/>
      <c r="Y55" s="10"/>
      <c r="Z55" s="10">
        <v>2295</v>
      </c>
      <c r="AA55" s="10">
        <v>2295</v>
      </c>
      <c r="AB55" s="10">
        <v>-17</v>
      </c>
      <c r="AC55" s="10">
        <v>371</v>
      </c>
      <c r="AD55" s="10"/>
      <c r="AE55" s="10"/>
      <c r="AF55" s="10">
        <v>508</v>
      </c>
      <c r="AG55" s="10">
        <v>508</v>
      </c>
      <c r="AH55" s="10"/>
      <c r="AI55" s="10"/>
      <c r="AJ55" s="92"/>
      <c r="AK55" s="10"/>
      <c r="AL55" s="10"/>
      <c r="AM55" s="10"/>
      <c r="AN55" s="10">
        <v>0</v>
      </c>
      <c r="AO55" s="10">
        <v>0</v>
      </c>
      <c r="AP55" s="10"/>
      <c r="AQ55" s="10"/>
      <c r="AR55" s="10">
        <v>-11</v>
      </c>
      <c r="AS55" s="10">
        <v>623</v>
      </c>
      <c r="AT55" s="10">
        <v>216</v>
      </c>
      <c r="AU55" s="10">
        <v>221</v>
      </c>
      <c r="AV55" s="10"/>
      <c r="AW55" s="10"/>
      <c r="AX55" s="10"/>
      <c r="AY55" s="10"/>
      <c r="AZ55" s="10">
        <v>1412</v>
      </c>
      <c r="BA55" s="10">
        <v>1885</v>
      </c>
      <c r="BB55" s="10"/>
      <c r="BC55" s="10"/>
      <c r="BD55" s="10"/>
      <c r="BE55" s="10"/>
      <c r="BF55" s="10">
        <v>14373</v>
      </c>
      <c r="BG55" s="10">
        <v>33184</v>
      </c>
      <c r="BH55" s="10">
        <v>2312</v>
      </c>
      <c r="BI55" s="10">
        <v>2486</v>
      </c>
      <c r="BJ55" s="10">
        <v>325</v>
      </c>
      <c r="BK55" s="10">
        <v>335</v>
      </c>
      <c r="BL55" s="108">
        <v>294</v>
      </c>
      <c r="BM55" s="108">
        <v>294</v>
      </c>
      <c r="BN55" s="10"/>
      <c r="BO55" s="10"/>
      <c r="BP55" s="88">
        <f t="shared" si="12"/>
        <v>23361</v>
      </c>
      <c r="BQ55" s="88">
        <f t="shared" si="13"/>
        <v>45512</v>
      </c>
    </row>
    <row r="56" spans="1:69" x14ac:dyDescent="0.25">
      <c r="A56" s="30" t="s">
        <v>277</v>
      </c>
      <c r="B56" s="10">
        <v>3297</v>
      </c>
      <c r="C56" s="10">
        <v>3493</v>
      </c>
      <c r="D56" s="10"/>
      <c r="E56" s="10"/>
      <c r="F56" s="10"/>
      <c r="G56" s="10"/>
      <c r="H56" s="10">
        <v>5468</v>
      </c>
      <c r="I56" s="10">
        <v>17393</v>
      </c>
      <c r="J56" s="10">
        <v>3544</v>
      </c>
      <c r="K56" s="10">
        <v>8315</v>
      </c>
      <c r="L56" s="10">
        <v>890</v>
      </c>
      <c r="M56" s="10">
        <v>2078</v>
      </c>
      <c r="N56" s="10"/>
      <c r="O56" s="10"/>
      <c r="P56" s="10"/>
      <c r="Q56" s="10"/>
      <c r="R56" s="10">
        <v>7298</v>
      </c>
      <c r="S56" s="10">
        <v>14893</v>
      </c>
      <c r="T56" s="10"/>
      <c r="U56" s="10"/>
      <c r="V56" s="10">
        <v>-641</v>
      </c>
      <c r="W56" s="10">
        <v>-1341</v>
      </c>
      <c r="X56" s="10"/>
      <c r="Y56" s="10"/>
      <c r="Z56" s="10">
        <v>-5107</v>
      </c>
      <c r="AA56" s="10">
        <v>347</v>
      </c>
      <c r="AB56" s="10">
        <v>4155</v>
      </c>
      <c r="AC56" s="10">
        <v>10160</v>
      </c>
      <c r="AD56" s="10"/>
      <c r="AE56" s="10"/>
      <c r="AF56" s="10">
        <v>362</v>
      </c>
      <c r="AG56" s="10">
        <v>916</v>
      </c>
      <c r="AH56" s="10">
        <v>-36</v>
      </c>
      <c r="AI56" s="10">
        <v>-54</v>
      </c>
      <c r="AJ56" s="92"/>
      <c r="AK56" s="10"/>
      <c r="AL56" s="10"/>
      <c r="AM56" s="10"/>
      <c r="AN56" s="10">
        <v>1393.7303625000002</v>
      </c>
      <c r="AO56" s="10">
        <v>2553.611535</v>
      </c>
      <c r="AP56" s="10"/>
      <c r="AQ56" s="10"/>
      <c r="AR56" s="10">
        <v>256</v>
      </c>
      <c r="AS56" s="10">
        <v>340</v>
      </c>
      <c r="AT56" s="10">
        <v>4154</v>
      </c>
      <c r="AU56" s="10">
        <v>11221</v>
      </c>
      <c r="AV56" s="10"/>
      <c r="AW56" s="10"/>
      <c r="AX56" s="10">
        <v>-3020</v>
      </c>
      <c r="AY56" s="10">
        <v>-4471</v>
      </c>
      <c r="AZ56" s="10">
        <v>23900</v>
      </c>
      <c r="BA56" s="10">
        <v>42362</v>
      </c>
      <c r="BB56" s="10">
        <v>9</v>
      </c>
      <c r="BC56" s="10">
        <v>24</v>
      </c>
      <c r="BD56" s="10"/>
      <c r="BE56" s="10"/>
      <c r="BF56" s="10">
        <v>188536</v>
      </c>
      <c r="BG56" s="10">
        <v>400667</v>
      </c>
      <c r="BH56" s="10">
        <v>47825</v>
      </c>
      <c r="BI56" s="10">
        <v>99798</v>
      </c>
      <c r="BJ56" s="10">
        <v>9690</v>
      </c>
      <c r="BK56" s="10">
        <v>12654</v>
      </c>
      <c r="BL56" s="108">
        <v>2880</v>
      </c>
      <c r="BM56" s="108">
        <v>5695</v>
      </c>
      <c r="BN56" s="10">
        <v>692</v>
      </c>
      <c r="BO56" s="10">
        <v>1107</v>
      </c>
      <c r="BP56" s="88">
        <f t="shared" si="12"/>
        <v>295545.73036250001</v>
      </c>
      <c r="BQ56" s="88">
        <f t="shared" si="13"/>
        <v>628150.61153500003</v>
      </c>
    </row>
    <row r="57" spans="1:69" x14ac:dyDescent="0.25">
      <c r="A57" s="30" t="s">
        <v>226</v>
      </c>
      <c r="B57" s="10">
        <v>-3297</v>
      </c>
      <c r="C57" s="10">
        <v>-3493</v>
      </c>
      <c r="D57" s="10"/>
      <c r="E57" s="10"/>
      <c r="F57" s="10"/>
      <c r="G57" s="10"/>
      <c r="H57" s="10">
        <v>-340</v>
      </c>
      <c r="I57" s="10">
        <v>2216</v>
      </c>
      <c r="J57" s="10">
        <v>7642</v>
      </c>
      <c r="K57" s="10">
        <v>11839</v>
      </c>
      <c r="L57" s="10">
        <v>1262</v>
      </c>
      <c r="M57" s="10">
        <v>1251</v>
      </c>
      <c r="N57" s="10"/>
      <c r="O57" s="10"/>
      <c r="P57" s="10"/>
      <c r="Q57" s="10"/>
      <c r="R57" s="10">
        <v>-712</v>
      </c>
      <c r="S57" s="10">
        <v>430</v>
      </c>
      <c r="T57" s="10"/>
      <c r="U57" s="10"/>
      <c r="V57" s="10">
        <v>-117</v>
      </c>
      <c r="W57" s="10">
        <v>-153</v>
      </c>
      <c r="X57" s="10"/>
      <c r="Y57" s="10"/>
      <c r="Z57" s="10">
        <v>15805</v>
      </c>
      <c r="AA57" s="10">
        <v>22084</v>
      </c>
      <c r="AB57" s="10">
        <v>19434</v>
      </c>
      <c r="AC57" s="10">
        <v>44247</v>
      </c>
      <c r="AD57" s="10"/>
      <c r="AE57" s="10"/>
      <c r="AF57" s="10">
        <v>3650</v>
      </c>
      <c r="AG57" s="10">
        <v>7123</v>
      </c>
      <c r="AH57" s="10">
        <v>-3</v>
      </c>
      <c r="AI57" s="10">
        <v>-5</v>
      </c>
      <c r="AJ57" s="92"/>
      <c r="AK57" s="10"/>
      <c r="AL57" s="10"/>
      <c r="AM57" s="10"/>
      <c r="AN57" s="10">
        <v>25385.055787499998</v>
      </c>
      <c r="AO57" s="10">
        <v>36700.111974999993</v>
      </c>
      <c r="AP57" s="10"/>
      <c r="AQ57" s="10"/>
      <c r="AR57" s="10">
        <v>1439</v>
      </c>
      <c r="AS57" s="10">
        <v>3620</v>
      </c>
      <c r="AT57" s="10">
        <v>2746</v>
      </c>
      <c r="AU57" s="10">
        <v>5883</v>
      </c>
      <c r="AV57" s="10"/>
      <c r="AW57" s="10"/>
      <c r="AX57" s="10">
        <v>-1211</v>
      </c>
      <c r="AY57" s="10">
        <v>-1511</v>
      </c>
      <c r="AZ57" s="10">
        <v>-13205</v>
      </c>
      <c r="BA57" s="10">
        <v>-21751</v>
      </c>
      <c r="BB57" s="10">
        <v>129</v>
      </c>
      <c r="BC57" s="10">
        <v>391</v>
      </c>
      <c r="BD57" s="10"/>
      <c r="BE57" s="10"/>
      <c r="BF57" s="10">
        <v>-57965</v>
      </c>
      <c r="BG57" s="10">
        <v>-116804</v>
      </c>
      <c r="BH57" s="10">
        <v>130632</v>
      </c>
      <c r="BI57" s="10">
        <v>335729</v>
      </c>
      <c r="BJ57" s="10">
        <v>9022</v>
      </c>
      <c r="BK57" s="10">
        <v>21682</v>
      </c>
      <c r="BL57" s="108">
        <v>38689</v>
      </c>
      <c r="BM57" s="108">
        <v>55467</v>
      </c>
      <c r="BN57" s="10">
        <v>210</v>
      </c>
      <c r="BO57" s="10">
        <v>1589</v>
      </c>
      <c r="BP57" s="88">
        <f t="shared" si="12"/>
        <v>179195.05578749999</v>
      </c>
      <c r="BQ57" s="88">
        <f t="shared" si="13"/>
        <v>406534.11197500001</v>
      </c>
    </row>
    <row r="58" spans="1:69" x14ac:dyDescent="0.25">
      <c r="A58" s="31"/>
    </row>
    <row r="59" spans="1:69" x14ac:dyDescent="0.25">
      <c r="A59" s="32" t="s">
        <v>223</v>
      </c>
    </row>
    <row r="60" spans="1:69" x14ac:dyDescent="0.25">
      <c r="A60" s="3" t="s">
        <v>0</v>
      </c>
      <c r="B60" s="116" t="s">
        <v>1</v>
      </c>
      <c r="C60" s="117"/>
      <c r="D60" s="116" t="s">
        <v>285</v>
      </c>
      <c r="E60" s="117"/>
      <c r="F60" s="116" t="s">
        <v>2</v>
      </c>
      <c r="G60" s="117"/>
      <c r="H60" s="116" t="s">
        <v>3</v>
      </c>
      <c r="I60" s="117"/>
      <c r="J60" s="116" t="s">
        <v>4</v>
      </c>
      <c r="K60" s="117"/>
      <c r="L60" s="116" t="s">
        <v>286</v>
      </c>
      <c r="M60" s="117"/>
      <c r="N60" s="116" t="s">
        <v>6</v>
      </c>
      <c r="O60" s="117"/>
      <c r="P60" s="116" t="s">
        <v>5</v>
      </c>
      <c r="Q60" s="117"/>
      <c r="R60" s="116" t="s">
        <v>7</v>
      </c>
      <c r="S60" s="117"/>
      <c r="T60" s="116" t="s">
        <v>287</v>
      </c>
      <c r="U60" s="117"/>
      <c r="V60" s="116" t="s">
        <v>8</v>
      </c>
      <c r="W60" s="117"/>
      <c r="X60" s="116" t="s">
        <v>288</v>
      </c>
      <c r="Y60" s="117"/>
      <c r="Z60" s="116" t="s">
        <v>9</v>
      </c>
      <c r="AA60" s="117"/>
      <c r="AB60" s="116" t="s">
        <v>10</v>
      </c>
      <c r="AC60" s="117"/>
      <c r="AD60" s="116" t="s">
        <v>289</v>
      </c>
      <c r="AE60" s="117"/>
      <c r="AF60" s="116" t="s">
        <v>11</v>
      </c>
      <c r="AG60" s="117"/>
      <c r="AH60" s="116" t="s">
        <v>12</v>
      </c>
      <c r="AI60" s="117"/>
      <c r="AJ60" s="116" t="s">
        <v>290</v>
      </c>
      <c r="AK60" s="117"/>
      <c r="AL60" s="116" t="s">
        <v>299</v>
      </c>
      <c r="AM60" s="117"/>
      <c r="AN60" s="116" t="s">
        <v>13</v>
      </c>
      <c r="AO60" s="117"/>
      <c r="AP60" s="116" t="s">
        <v>291</v>
      </c>
      <c r="AQ60" s="117"/>
      <c r="AR60" s="116" t="s">
        <v>292</v>
      </c>
      <c r="AS60" s="117"/>
      <c r="AT60" s="116" t="s">
        <v>307</v>
      </c>
      <c r="AU60" s="117"/>
      <c r="AV60" s="116" t="s">
        <v>293</v>
      </c>
      <c r="AW60" s="117"/>
      <c r="AX60" s="116" t="s">
        <v>14</v>
      </c>
      <c r="AY60" s="117"/>
      <c r="AZ60" s="116" t="s">
        <v>15</v>
      </c>
      <c r="BA60" s="117"/>
      <c r="BB60" s="116" t="s">
        <v>16</v>
      </c>
      <c r="BC60" s="117"/>
      <c r="BD60" s="116" t="s">
        <v>17</v>
      </c>
      <c r="BE60" s="117"/>
      <c r="BF60" s="116" t="s">
        <v>18</v>
      </c>
      <c r="BG60" s="117"/>
      <c r="BH60" s="116" t="s">
        <v>294</v>
      </c>
      <c r="BI60" s="117"/>
      <c r="BJ60" s="116" t="s">
        <v>295</v>
      </c>
      <c r="BK60" s="117"/>
      <c r="BL60" s="116" t="s">
        <v>19</v>
      </c>
      <c r="BM60" s="117"/>
      <c r="BN60" s="116" t="s">
        <v>20</v>
      </c>
      <c r="BO60" s="117"/>
      <c r="BP60" s="118" t="s">
        <v>21</v>
      </c>
      <c r="BQ60" s="119"/>
    </row>
    <row r="61" spans="1:69" ht="30" x14ac:dyDescent="0.25">
      <c r="A61" s="3"/>
      <c r="B61" s="67" t="s">
        <v>296</v>
      </c>
      <c r="C61" s="68" t="s">
        <v>297</v>
      </c>
      <c r="D61" s="67" t="s">
        <v>296</v>
      </c>
      <c r="E61" s="68" t="s">
        <v>297</v>
      </c>
      <c r="F61" s="67" t="s">
        <v>296</v>
      </c>
      <c r="G61" s="68" t="s">
        <v>297</v>
      </c>
      <c r="H61" s="67" t="s">
        <v>296</v>
      </c>
      <c r="I61" s="68" t="s">
        <v>297</v>
      </c>
      <c r="J61" s="67" t="s">
        <v>296</v>
      </c>
      <c r="K61" s="68" t="s">
        <v>297</v>
      </c>
      <c r="L61" s="67" t="s">
        <v>296</v>
      </c>
      <c r="M61" s="68" t="s">
        <v>297</v>
      </c>
      <c r="N61" s="67" t="s">
        <v>296</v>
      </c>
      <c r="O61" s="68" t="s">
        <v>297</v>
      </c>
      <c r="P61" s="67" t="s">
        <v>296</v>
      </c>
      <c r="Q61" s="68" t="s">
        <v>297</v>
      </c>
      <c r="R61" s="67" t="s">
        <v>296</v>
      </c>
      <c r="S61" s="68" t="s">
        <v>297</v>
      </c>
      <c r="T61" s="67" t="s">
        <v>296</v>
      </c>
      <c r="U61" s="68" t="s">
        <v>297</v>
      </c>
      <c r="V61" s="67" t="s">
        <v>296</v>
      </c>
      <c r="W61" s="68" t="s">
        <v>297</v>
      </c>
      <c r="X61" s="67" t="s">
        <v>296</v>
      </c>
      <c r="Y61" s="68" t="s">
        <v>297</v>
      </c>
      <c r="Z61" s="67" t="s">
        <v>296</v>
      </c>
      <c r="AA61" s="68" t="s">
        <v>297</v>
      </c>
      <c r="AB61" s="67" t="s">
        <v>296</v>
      </c>
      <c r="AC61" s="68" t="s">
        <v>297</v>
      </c>
      <c r="AD61" s="67" t="s">
        <v>296</v>
      </c>
      <c r="AE61" s="68" t="s">
        <v>297</v>
      </c>
      <c r="AF61" s="67" t="s">
        <v>296</v>
      </c>
      <c r="AG61" s="68" t="s">
        <v>297</v>
      </c>
      <c r="AH61" s="67" t="s">
        <v>296</v>
      </c>
      <c r="AI61" s="68" t="s">
        <v>297</v>
      </c>
      <c r="AJ61" s="67" t="s">
        <v>296</v>
      </c>
      <c r="AK61" s="68" t="s">
        <v>297</v>
      </c>
      <c r="AL61" s="67" t="s">
        <v>296</v>
      </c>
      <c r="AM61" s="68" t="s">
        <v>297</v>
      </c>
      <c r="AN61" s="67" t="s">
        <v>296</v>
      </c>
      <c r="AO61" s="68" t="s">
        <v>297</v>
      </c>
      <c r="AP61" s="67" t="s">
        <v>296</v>
      </c>
      <c r="AQ61" s="68" t="s">
        <v>297</v>
      </c>
      <c r="AR61" s="67" t="s">
        <v>296</v>
      </c>
      <c r="AS61" s="68" t="s">
        <v>297</v>
      </c>
      <c r="AT61" s="67" t="s">
        <v>296</v>
      </c>
      <c r="AU61" s="68" t="s">
        <v>297</v>
      </c>
      <c r="AV61" s="67" t="s">
        <v>296</v>
      </c>
      <c r="AW61" s="68" t="s">
        <v>297</v>
      </c>
      <c r="AX61" s="67" t="s">
        <v>296</v>
      </c>
      <c r="AY61" s="68" t="s">
        <v>297</v>
      </c>
      <c r="AZ61" s="67" t="s">
        <v>296</v>
      </c>
      <c r="BA61" s="68" t="s">
        <v>297</v>
      </c>
      <c r="BB61" s="67" t="s">
        <v>296</v>
      </c>
      <c r="BC61" s="68" t="s">
        <v>297</v>
      </c>
      <c r="BD61" s="67" t="s">
        <v>296</v>
      </c>
      <c r="BE61" s="68" t="s">
        <v>297</v>
      </c>
      <c r="BF61" s="67" t="s">
        <v>296</v>
      </c>
      <c r="BG61" s="68" t="s">
        <v>297</v>
      </c>
      <c r="BH61" s="67" t="s">
        <v>296</v>
      </c>
      <c r="BI61" s="68" t="s">
        <v>297</v>
      </c>
      <c r="BJ61" s="67" t="s">
        <v>296</v>
      </c>
      <c r="BK61" s="68" t="s">
        <v>297</v>
      </c>
      <c r="BL61" s="67" t="s">
        <v>296</v>
      </c>
      <c r="BM61" s="68" t="s">
        <v>297</v>
      </c>
      <c r="BN61" s="67" t="s">
        <v>296</v>
      </c>
      <c r="BO61" s="68" t="s">
        <v>297</v>
      </c>
      <c r="BP61" s="84" t="s">
        <v>280</v>
      </c>
      <c r="BQ61" s="85" t="s">
        <v>281</v>
      </c>
    </row>
    <row r="62" spans="1:69" x14ac:dyDescent="0.25">
      <c r="A62" s="30" t="s">
        <v>225</v>
      </c>
      <c r="B62" s="10"/>
      <c r="C62" s="10"/>
      <c r="D62" s="10"/>
      <c r="E62" s="10"/>
      <c r="F62" s="10"/>
      <c r="G62" s="10"/>
      <c r="H62" s="10">
        <v>3761</v>
      </c>
      <c r="I62" s="10">
        <v>4838</v>
      </c>
      <c r="J62" s="10"/>
      <c r="K62" s="10"/>
      <c r="L62" s="10"/>
      <c r="M62" s="10"/>
      <c r="N62" s="10"/>
      <c r="O62" s="10"/>
      <c r="P62" s="10"/>
      <c r="Q62" s="10"/>
      <c r="R62" s="10"/>
      <c r="S62" s="10">
        <v>23</v>
      </c>
      <c r="T62" s="10"/>
      <c r="U62" s="10"/>
      <c r="V62" s="10">
        <v>195</v>
      </c>
      <c r="W62" s="10">
        <v>618</v>
      </c>
      <c r="X62" s="10"/>
      <c r="Y62" s="10"/>
      <c r="Z62" s="10">
        <v>2418</v>
      </c>
      <c r="AA62" s="10">
        <v>6566</v>
      </c>
      <c r="AB62" s="10"/>
      <c r="AC62" s="10">
        <v>20</v>
      </c>
      <c r="AD62" s="10"/>
      <c r="AE62" s="10"/>
      <c r="AF62" s="10"/>
      <c r="AG62" s="10"/>
      <c r="AH62" s="10"/>
      <c r="AI62" s="10"/>
      <c r="AJ62" s="11"/>
      <c r="AK62" s="10"/>
      <c r="AL62" s="10"/>
      <c r="AM62" s="10"/>
      <c r="AN62" s="10">
        <v>3820.3129999999996</v>
      </c>
      <c r="AO62" s="10">
        <v>5645.7709999999997</v>
      </c>
      <c r="AP62" s="10"/>
      <c r="AQ62" s="10"/>
      <c r="AR62" s="10"/>
      <c r="AS62" s="10"/>
      <c r="AT62" s="10">
        <v>-2753</v>
      </c>
      <c r="AU62" s="10">
        <v>1614</v>
      </c>
      <c r="AV62" s="10"/>
      <c r="AW62" s="10"/>
      <c r="AX62" s="10"/>
      <c r="AY62" s="10"/>
      <c r="AZ62" s="10">
        <v>41</v>
      </c>
      <c r="BA62" s="10">
        <v>95</v>
      </c>
      <c r="BB62" s="10"/>
      <c r="BC62" s="10"/>
      <c r="BD62" s="10"/>
      <c r="BE62" s="10"/>
      <c r="BF62" s="10"/>
      <c r="BG62" s="10"/>
      <c r="BH62" s="10">
        <v>20560</v>
      </c>
      <c r="BI62" s="10">
        <v>24341</v>
      </c>
      <c r="BJ62" s="10">
        <v>1526</v>
      </c>
      <c r="BK62" s="10">
        <v>3499</v>
      </c>
      <c r="BL62" s="108">
        <v>3583</v>
      </c>
      <c r="BM62" s="108">
        <v>5185</v>
      </c>
      <c r="BN62" s="10"/>
      <c r="BO62" s="10"/>
      <c r="BP62" s="88">
        <f t="shared" ref="BP62:BP65" si="14">SUM(B62+D62+F62+H62+J62+L62+N62+P62+R62+T62+V62+X62+Z62+AB62+AD62+AF62+AH62+AJ62+AL62+AN62+AP62+AR62+AT62+AV62+AX62+AZ62+BB62+BD62+BF62+BH62+BJ62+BL62+BN62)</f>
        <v>33151.313000000002</v>
      </c>
      <c r="BQ62" s="88">
        <f t="shared" ref="BQ62:BQ65" si="15">SUM(C62+E62+G62+I62+K62+M62+O62+Q62+S62+U62+W62+Y62+AA62+AC62+AE62+AG62+AI62+AK62+AM62+AO62+AQ62+AS62+AU62+AW62+AY62+BA62+BC62+BE62+BG62+BI62+BK62+BM62+BO62)</f>
        <v>52444.771000000001</v>
      </c>
    </row>
    <row r="63" spans="1:69" x14ac:dyDescent="0.25">
      <c r="A63" s="30" t="s">
        <v>276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>
        <v>-72</v>
      </c>
      <c r="W63" s="10">
        <v>-72</v>
      </c>
      <c r="X63" s="10"/>
      <c r="Y63" s="10"/>
      <c r="Z63" s="10">
        <v>1923</v>
      </c>
      <c r="AA63" s="10">
        <v>3273</v>
      </c>
      <c r="AB63" s="10"/>
      <c r="AC63" s="10"/>
      <c r="AD63" s="10"/>
      <c r="AE63" s="10"/>
      <c r="AF63" s="10"/>
      <c r="AG63" s="10"/>
      <c r="AH63" s="10"/>
      <c r="AI63" s="10"/>
      <c r="AJ63" s="11"/>
      <c r="AK63" s="10"/>
      <c r="AL63" s="10"/>
      <c r="AM63" s="10"/>
      <c r="AN63" s="10">
        <v>398.28999999999996</v>
      </c>
      <c r="AO63" s="10">
        <v>5885.6679999999997</v>
      </c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>
        <v>36923</v>
      </c>
      <c r="BI63" s="10">
        <v>75997</v>
      </c>
      <c r="BJ63" s="10">
        <v>19125</v>
      </c>
      <c r="BK63" s="10">
        <v>40577</v>
      </c>
      <c r="BL63" s="108">
        <v>6038</v>
      </c>
      <c r="BM63" s="108">
        <v>14957</v>
      </c>
      <c r="BN63" s="10"/>
      <c r="BO63" s="10"/>
      <c r="BP63" s="88">
        <f t="shared" si="14"/>
        <v>64335.29</v>
      </c>
      <c r="BQ63" s="88">
        <f t="shared" si="15"/>
        <v>140617.66800000001</v>
      </c>
    </row>
    <row r="64" spans="1:69" x14ac:dyDescent="0.25">
      <c r="A64" s="30" t="s">
        <v>277</v>
      </c>
      <c r="B64" s="10"/>
      <c r="C64" s="10"/>
      <c r="D64" s="10"/>
      <c r="E64" s="10"/>
      <c r="F64" s="10"/>
      <c r="G64" s="10"/>
      <c r="H64" s="10">
        <v>2048</v>
      </c>
      <c r="I64" s="10">
        <v>4344</v>
      </c>
      <c r="J64" s="10"/>
      <c r="K64" s="10"/>
      <c r="L64" s="10"/>
      <c r="M64" s="10"/>
      <c r="N64" s="10"/>
      <c r="O64" s="10"/>
      <c r="P64" s="10"/>
      <c r="Q64" s="10"/>
      <c r="R64" s="10"/>
      <c r="S64" s="10">
        <v>8</v>
      </c>
      <c r="T64" s="10"/>
      <c r="U64" s="10"/>
      <c r="V64" s="10">
        <v>-1348</v>
      </c>
      <c r="W64" s="10">
        <v>-1972</v>
      </c>
      <c r="X64" s="10"/>
      <c r="Y64" s="10"/>
      <c r="Z64" s="10">
        <v>4284</v>
      </c>
      <c r="AA64" s="10">
        <v>6227</v>
      </c>
      <c r="AB64" s="10"/>
      <c r="AC64" s="10">
        <v>10</v>
      </c>
      <c r="AD64" s="10"/>
      <c r="AE64" s="10"/>
      <c r="AF64" s="10"/>
      <c r="AG64" s="10"/>
      <c r="AH64" s="10"/>
      <c r="AI64" s="10"/>
      <c r="AJ64" s="11"/>
      <c r="AK64" s="10"/>
      <c r="AL64" s="10"/>
      <c r="AM64" s="10"/>
      <c r="AN64" s="10">
        <v>8814.1630000000005</v>
      </c>
      <c r="AO64" s="10">
        <v>11922.632</v>
      </c>
      <c r="AP64" s="10"/>
      <c r="AQ64" s="10"/>
      <c r="AR64" s="10"/>
      <c r="AS64" s="10"/>
      <c r="AT64" s="10">
        <v>762</v>
      </c>
      <c r="AU64" s="10">
        <v>2776</v>
      </c>
      <c r="AV64" s="10"/>
      <c r="AW64" s="10"/>
      <c r="AX64" s="10"/>
      <c r="AY64" s="10"/>
      <c r="AZ64" s="10">
        <v>1</v>
      </c>
      <c r="BA64" s="10">
        <v>4</v>
      </c>
      <c r="BB64" s="10"/>
      <c r="BC64" s="10"/>
      <c r="BD64" s="10"/>
      <c r="BE64" s="10"/>
      <c r="BF64" s="10"/>
      <c r="BG64" s="10"/>
      <c r="BH64" s="10">
        <v>23481</v>
      </c>
      <c r="BI64" s="10">
        <v>32455</v>
      </c>
      <c r="BJ64" s="10">
        <v>36278</v>
      </c>
      <c r="BK64" s="10">
        <v>40758</v>
      </c>
      <c r="BL64" s="108">
        <v>7110</v>
      </c>
      <c r="BM64" s="108">
        <v>10765</v>
      </c>
      <c r="BN64" s="10"/>
      <c r="BO64" s="10"/>
      <c r="BP64" s="88">
        <f t="shared" si="14"/>
        <v>81430.163</v>
      </c>
      <c r="BQ64" s="88">
        <f t="shared" si="15"/>
        <v>107297.632</v>
      </c>
    </row>
    <row r="65" spans="1:69" x14ac:dyDescent="0.25">
      <c r="A65" s="30" t="s">
        <v>226</v>
      </c>
      <c r="B65" s="10"/>
      <c r="C65" s="10"/>
      <c r="D65" s="10"/>
      <c r="E65" s="10"/>
      <c r="F65" s="10"/>
      <c r="G65" s="10"/>
      <c r="H65" s="10">
        <v>1713</v>
      </c>
      <c r="I65" s="10">
        <v>494</v>
      </c>
      <c r="J65" s="10"/>
      <c r="K65" s="10"/>
      <c r="L65" s="10"/>
      <c r="M65" s="10"/>
      <c r="N65" s="10"/>
      <c r="O65" s="10"/>
      <c r="P65" s="10"/>
      <c r="Q65" s="10"/>
      <c r="R65" s="10"/>
      <c r="S65" s="10">
        <v>14</v>
      </c>
      <c r="T65" s="10"/>
      <c r="U65" s="10"/>
      <c r="V65" s="10">
        <v>-1226</v>
      </c>
      <c r="W65" s="10">
        <v>-1426</v>
      </c>
      <c r="X65" s="10"/>
      <c r="Y65" s="10"/>
      <c r="Z65" s="10">
        <v>57</v>
      </c>
      <c r="AA65" s="10">
        <v>3612</v>
      </c>
      <c r="AB65" s="10"/>
      <c r="AC65" s="10">
        <v>10</v>
      </c>
      <c r="AD65" s="10"/>
      <c r="AE65" s="10"/>
      <c r="AF65" s="10"/>
      <c r="AG65" s="10"/>
      <c r="AH65" s="10"/>
      <c r="AI65" s="10"/>
      <c r="AJ65" s="11"/>
      <c r="AK65" s="10"/>
      <c r="AL65" s="10"/>
      <c r="AM65" s="10"/>
      <c r="AN65" s="10">
        <v>-4595.5600000000013</v>
      </c>
      <c r="AO65" s="10">
        <v>-391.19300000000112</v>
      </c>
      <c r="AP65" s="10"/>
      <c r="AQ65" s="10"/>
      <c r="AR65" s="10"/>
      <c r="AS65" s="10"/>
      <c r="AT65" s="10">
        <v>-3515</v>
      </c>
      <c r="AU65" s="10">
        <v>-1162</v>
      </c>
      <c r="AV65" s="10"/>
      <c r="AW65" s="10"/>
      <c r="AX65" s="10"/>
      <c r="AY65" s="10"/>
      <c r="AZ65" s="10">
        <v>40</v>
      </c>
      <c r="BA65" s="10">
        <v>91</v>
      </c>
      <c r="BB65" s="10"/>
      <c r="BC65" s="10"/>
      <c r="BD65" s="10"/>
      <c r="BE65" s="10"/>
      <c r="BF65" s="10"/>
      <c r="BG65" s="10"/>
      <c r="BH65" s="10">
        <v>34003</v>
      </c>
      <c r="BI65" s="10">
        <v>67883</v>
      </c>
      <c r="BJ65" s="10">
        <v>-15627</v>
      </c>
      <c r="BK65" s="10">
        <v>3318</v>
      </c>
      <c r="BL65" s="108">
        <v>2511</v>
      </c>
      <c r="BM65" s="108">
        <v>9377</v>
      </c>
      <c r="BN65" s="10"/>
      <c r="BO65" s="10"/>
      <c r="BP65" s="88">
        <f t="shared" si="14"/>
        <v>13360.439999999999</v>
      </c>
      <c r="BQ65" s="88">
        <f t="shared" si="15"/>
        <v>81819.807000000001</v>
      </c>
    </row>
    <row r="66" spans="1:69" x14ac:dyDescent="0.25">
      <c r="A66" s="28"/>
    </row>
    <row r="67" spans="1:69" x14ac:dyDescent="0.25">
      <c r="A67" s="29" t="s">
        <v>224</v>
      </c>
    </row>
    <row r="68" spans="1:69" x14ac:dyDescent="0.25">
      <c r="A68" s="3" t="s">
        <v>0</v>
      </c>
      <c r="B68" s="116" t="s">
        <v>1</v>
      </c>
      <c r="C68" s="117"/>
      <c r="D68" s="116" t="s">
        <v>285</v>
      </c>
      <c r="E68" s="117"/>
      <c r="F68" s="116" t="s">
        <v>2</v>
      </c>
      <c r="G68" s="117"/>
      <c r="H68" s="116" t="s">
        <v>3</v>
      </c>
      <c r="I68" s="117"/>
      <c r="J68" s="116" t="s">
        <v>4</v>
      </c>
      <c r="K68" s="117"/>
      <c r="L68" s="116" t="s">
        <v>286</v>
      </c>
      <c r="M68" s="117"/>
      <c r="N68" s="116" t="s">
        <v>6</v>
      </c>
      <c r="O68" s="117"/>
      <c r="P68" s="116" t="s">
        <v>5</v>
      </c>
      <c r="Q68" s="117"/>
      <c r="R68" s="116" t="s">
        <v>7</v>
      </c>
      <c r="S68" s="117"/>
      <c r="T68" s="116" t="s">
        <v>287</v>
      </c>
      <c r="U68" s="117"/>
      <c r="V68" s="116" t="s">
        <v>8</v>
      </c>
      <c r="W68" s="117"/>
      <c r="X68" s="116" t="s">
        <v>288</v>
      </c>
      <c r="Y68" s="117"/>
      <c r="Z68" s="116" t="s">
        <v>9</v>
      </c>
      <c r="AA68" s="117"/>
      <c r="AB68" s="116" t="s">
        <v>10</v>
      </c>
      <c r="AC68" s="117"/>
      <c r="AD68" s="116" t="s">
        <v>289</v>
      </c>
      <c r="AE68" s="117"/>
      <c r="AF68" s="116" t="s">
        <v>11</v>
      </c>
      <c r="AG68" s="117"/>
      <c r="AH68" s="116" t="s">
        <v>12</v>
      </c>
      <c r="AI68" s="117"/>
      <c r="AJ68" s="116" t="s">
        <v>290</v>
      </c>
      <c r="AK68" s="117"/>
      <c r="AL68" s="116" t="s">
        <v>299</v>
      </c>
      <c r="AM68" s="117"/>
      <c r="AN68" s="116" t="s">
        <v>13</v>
      </c>
      <c r="AO68" s="117"/>
      <c r="AP68" s="116" t="s">
        <v>291</v>
      </c>
      <c r="AQ68" s="117"/>
      <c r="AR68" s="116" t="s">
        <v>292</v>
      </c>
      <c r="AS68" s="117"/>
      <c r="AT68" s="116" t="s">
        <v>307</v>
      </c>
      <c r="AU68" s="117"/>
      <c r="AV68" s="116" t="s">
        <v>293</v>
      </c>
      <c r="AW68" s="117"/>
      <c r="AX68" s="116" t="s">
        <v>14</v>
      </c>
      <c r="AY68" s="117"/>
      <c r="AZ68" s="116" t="s">
        <v>15</v>
      </c>
      <c r="BA68" s="117"/>
      <c r="BB68" s="116" t="s">
        <v>16</v>
      </c>
      <c r="BC68" s="117"/>
      <c r="BD68" s="116" t="s">
        <v>17</v>
      </c>
      <c r="BE68" s="117"/>
      <c r="BF68" s="116" t="s">
        <v>18</v>
      </c>
      <c r="BG68" s="117"/>
      <c r="BH68" s="116" t="s">
        <v>294</v>
      </c>
      <c r="BI68" s="117"/>
      <c r="BJ68" s="116" t="s">
        <v>295</v>
      </c>
      <c r="BK68" s="117"/>
      <c r="BL68" s="116" t="s">
        <v>19</v>
      </c>
      <c r="BM68" s="117"/>
      <c r="BN68" s="116" t="s">
        <v>20</v>
      </c>
      <c r="BO68" s="117"/>
      <c r="BP68" s="118" t="s">
        <v>21</v>
      </c>
      <c r="BQ68" s="119"/>
    </row>
    <row r="69" spans="1:69" ht="30" x14ac:dyDescent="0.25">
      <c r="A69" s="3"/>
      <c r="B69" s="67" t="s">
        <v>296</v>
      </c>
      <c r="C69" s="68" t="s">
        <v>297</v>
      </c>
      <c r="D69" s="67" t="s">
        <v>296</v>
      </c>
      <c r="E69" s="68" t="s">
        <v>297</v>
      </c>
      <c r="F69" s="67" t="s">
        <v>296</v>
      </c>
      <c r="G69" s="68" t="s">
        <v>297</v>
      </c>
      <c r="H69" s="67" t="s">
        <v>296</v>
      </c>
      <c r="I69" s="68" t="s">
        <v>297</v>
      </c>
      <c r="J69" s="67" t="s">
        <v>296</v>
      </c>
      <c r="K69" s="68" t="s">
        <v>297</v>
      </c>
      <c r="L69" s="67" t="s">
        <v>296</v>
      </c>
      <c r="M69" s="68" t="s">
        <v>297</v>
      </c>
      <c r="N69" s="67" t="s">
        <v>296</v>
      </c>
      <c r="O69" s="68" t="s">
        <v>297</v>
      </c>
      <c r="P69" s="67" t="s">
        <v>296</v>
      </c>
      <c r="Q69" s="68" t="s">
        <v>297</v>
      </c>
      <c r="R69" s="67" t="s">
        <v>296</v>
      </c>
      <c r="S69" s="68" t="s">
        <v>297</v>
      </c>
      <c r="T69" s="67" t="s">
        <v>296</v>
      </c>
      <c r="U69" s="68" t="s">
        <v>297</v>
      </c>
      <c r="V69" s="67" t="s">
        <v>296</v>
      </c>
      <c r="W69" s="68" t="s">
        <v>297</v>
      </c>
      <c r="X69" s="67" t="s">
        <v>296</v>
      </c>
      <c r="Y69" s="68" t="s">
        <v>297</v>
      </c>
      <c r="Z69" s="67" t="s">
        <v>296</v>
      </c>
      <c r="AA69" s="68" t="s">
        <v>297</v>
      </c>
      <c r="AB69" s="67" t="s">
        <v>296</v>
      </c>
      <c r="AC69" s="68" t="s">
        <v>297</v>
      </c>
      <c r="AD69" s="67" t="s">
        <v>296</v>
      </c>
      <c r="AE69" s="68" t="s">
        <v>297</v>
      </c>
      <c r="AF69" s="67" t="s">
        <v>296</v>
      </c>
      <c r="AG69" s="68" t="s">
        <v>297</v>
      </c>
      <c r="AH69" s="67" t="s">
        <v>296</v>
      </c>
      <c r="AI69" s="68" t="s">
        <v>297</v>
      </c>
      <c r="AJ69" s="67" t="s">
        <v>296</v>
      </c>
      <c r="AK69" s="68" t="s">
        <v>297</v>
      </c>
      <c r="AL69" s="67" t="s">
        <v>296</v>
      </c>
      <c r="AM69" s="68" t="s">
        <v>297</v>
      </c>
      <c r="AN69" s="67" t="s">
        <v>296</v>
      </c>
      <c r="AO69" s="68" t="s">
        <v>297</v>
      </c>
      <c r="AP69" s="67" t="s">
        <v>296</v>
      </c>
      <c r="AQ69" s="68" t="s">
        <v>297</v>
      </c>
      <c r="AR69" s="67" t="s">
        <v>296</v>
      </c>
      <c r="AS69" s="68" t="s">
        <v>297</v>
      </c>
      <c r="AT69" s="67" t="s">
        <v>296</v>
      </c>
      <c r="AU69" s="68" t="s">
        <v>297</v>
      </c>
      <c r="AV69" s="67" t="s">
        <v>296</v>
      </c>
      <c r="AW69" s="68" t="s">
        <v>297</v>
      </c>
      <c r="AX69" s="67" t="s">
        <v>296</v>
      </c>
      <c r="AY69" s="68" t="s">
        <v>297</v>
      </c>
      <c r="AZ69" s="67" t="s">
        <v>296</v>
      </c>
      <c r="BA69" s="68" t="s">
        <v>297</v>
      </c>
      <c r="BB69" s="67" t="s">
        <v>296</v>
      </c>
      <c r="BC69" s="68" t="s">
        <v>297</v>
      </c>
      <c r="BD69" s="67" t="s">
        <v>296</v>
      </c>
      <c r="BE69" s="68" t="s">
        <v>297</v>
      </c>
      <c r="BF69" s="67" t="s">
        <v>296</v>
      </c>
      <c r="BG69" s="68" t="s">
        <v>297</v>
      </c>
      <c r="BH69" s="67" t="s">
        <v>296</v>
      </c>
      <c r="BI69" s="68" t="s">
        <v>297</v>
      </c>
      <c r="BJ69" s="67" t="s">
        <v>296</v>
      </c>
      <c r="BK69" s="68" t="s">
        <v>297</v>
      </c>
      <c r="BL69" s="67" t="s">
        <v>296</v>
      </c>
      <c r="BM69" s="68" t="s">
        <v>297</v>
      </c>
      <c r="BN69" s="67" t="s">
        <v>296</v>
      </c>
      <c r="BO69" s="68" t="s">
        <v>297</v>
      </c>
      <c r="BP69" s="84" t="s">
        <v>280</v>
      </c>
      <c r="BQ69" s="85" t="s">
        <v>281</v>
      </c>
    </row>
    <row r="70" spans="1:69" x14ac:dyDescent="0.25">
      <c r="A70" s="30" t="s">
        <v>225</v>
      </c>
      <c r="B70" s="10">
        <f>B78-B62-B54-B46-B38-B30-B22-B14-B6</f>
        <v>0</v>
      </c>
      <c r="C70" s="10">
        <f t="shared" ref="C70:AI70" si="16">C78-C62-C54-C46-C38-C30-C22-C14-C6</f>
        <v>0</v>
      </c>
      <c r="D70" s="10">
        <f t="shared" si="16"/>
        <v>0</v>
      </c>
      <c r="E70" s="10">
        <f t="shared" si="16"/>
        <v>0</v>
      </c>
      <c r="F70" s="10">
        <f t="shared" si="16"/>
        <v>-36275</v>
      </c>
      <c r="G70" s="10">
        <f t="shared" si="16"/>
        <v>110742</v>
      </c>
      <c r="H70" s="10">
        <f t="shared" si="16"/>
        <v>163046</v>
      </c>
      <c r="I70" s="10">
        <f t="shared" si="16"/>
        <v>358416</v>
      </c>
      <c r="J70" s="10">
        <f t="shared" si="16"/>
        <v>11607</v>
      </c>
      <c r="K70" s="10">
        <f t="shared" si="16"/>
        <v>23190</v>
      </c>
      <c r="L70" s="10">
        <f t="shared" si="16"/>
        <v>13358</v>
      </c>
      <c r="M70" s="10">
        <f t="shared" si="16"/>
        <v>20509</v>
      </c>
      <c r="N70" s="10">
        <f t="shared" si="16"/>
        <v>16709.72</v>
      </c>
      <c r="O70" s="10">
        <f t="shared" si="16"/>
        <v>23189.94</v>
      </c>
      <c r="P70" s="10">
        <f t="shared" si="16"/>
        <v>243</v>
      </c>
      <c r="Q70" s="10">
        <f t="shared" si="16"/>
        <v>267</v>
      </c>
      <c r="R70" s="10">
        <f t="shared" si="16"/>
        <v>47753</v>
      </c>
      <c r="S70" s="10">
        <f t="shared" si="16"/>
        <v>87152</v>
      </c>
      <c r="T70" s="10">
        <f t="shared" si="16"/>
        <v>18989</v>
      </c>
      <c r="U70" s="10">
        <f t="shared" si="16"/>
        <v>27485</v>
      </c>
      <c r="V70" s="10">
        <f t="shared" si="16"/>
        <v>162718</v>
      </c>
      <c r="W70" s="10">
        <f t="shared" si="16"/>
        <v>287199</v>
      </c>
      <c r="X70" s="10">
        <f t="shared" si="16"/>
        <v>315</v>
      </c>
      <c r="Y70" s="10">
        <f t="shared" si="16"/>
        <v>793</v>
      </c>
      <c r="Z70" s="10">
        <f t="shared" si="16"/>
        <v>174263</v>
      </c>
      <c r="AA70" s="10">
        <f t="shared" si="16"/>
        <v>322958</v>
      </c>
      <c r="AB70" s="10">
        <f t="shared" si="16"/>
        <v>111485</v>
      </c>
      <c r="AC70" s="10">
        <f t="shared" si="16"/>
        <v>222344</v>
      </c>
      <c r="AD70" s="10">
        <f t="shared" si="16"/>
        <v>4075</v>
      </c>
      <c r="AE70" s="10">
        <f t="shared" si="16"/>
        <v>6546</v>
      </c>
      <c r="AF70" s="10">
        <f t="shared" si="16"/>
        <v>21067</v>
      </c>
      <c r="AG70" s="10">
        <f t="shared" si="16"/>
        <v>46998</v>
      </c>
      <c r="AH70" s="10">
        <f t="shared" si="16"/>
        <v>3119</v>
      </c>
      <c r="AI70" s="10">
        <f t="shared" si="16"/>
        <v>4948</v>
      </c>
      <c r="AJ70" s="10">
        <f t="shared" ref="AJ70:BO70" si="17">AJ78-AJ62-AJ54-AJ46-AJ38-AJ30-AJ22-AJ14-AJ6</f>
        <v>-1</v>
      </c>
      <c r="AK70" s="10">
        <f t="shared" si="17"/>
        <v>0</v>
      </c>
      <c r="AL70" s="10">
        <f t="shared" si="17"/>
        <v>0</v>
      </c>
      <c r="AM70" s="10">
        <f t="shared" si="17"/>
        <v>0</v>
      </c>
      <c r="AN70" s="10">
        <f t="shared" si="17"/>
        <v>91948.651999999827</v>
      </c>
      <c r="AO70" s="10">
        <f t="shared" si="17"/>
        <v>195373.3130000016</v>
      </c>
      <c r="AP70" s="10">
        <f t="shared" si="17"/>
        <v>114</v>
      </c>
      <c r="AQ70" s="10">
        <f t="shared" si="17"/>
        <v>114</v>
      </c>
      <c r="AR70" s="10">
        <f t="shared" si="17"/>
        <v>23814</v>
      </c>
      <c r="AS70" s="10">
        <f t="shared" si="17"/>
        <v>44909</v>
      </c>
      <c r="AT70" s="10">
        <f t="shared" si="17"/>
        <v>15719</v>
      </c>
      <c r="AU70" s="10">
        <f t="shared" si="17"/>
        <v>31766</v>
      </c>
      <c r="AV70" s="10">
        <f t="shared" si="17"/>
        <v>1</v>
      </c>
      <c r="AW70" s="10">
        <f t="shared" si="17"/>
        <v>0</v>
      </c>
      <c r="AX70" s="10">
        <f t="shared" si="17"/>
        <v>4540</v>
      </c>
      <c r="AY70" s="10">
        <f t="shared" si="17"/>
        <v>8797</v>
      </c>
      <c r="AZ70" s="10">
        <f t="shared" si="17"/>
        <v>50787</v>
      </c>
      <c r="BA70" s="10">
        <f t="shared" si="17"/>
        <v>88708</v>
      </c>
      <c r="BB70" s="10">
        <f t="shared" si="17"/>
        <v>4031</v>
      </c>
      <c r="BC70" s="10">
        <f t="shared" si="17"/>
        <v>7130</v>
      </c>
      <c r="BD70" s="10">
        <f t="shared" si="17"/>
        <v>3453735</v>
      </c>
      <c r="BE70" s="10">
        <f t="shared" si="17"/>
        <v>5559369</v>
      </c>
      <c r="BF70" s="10">
        <f t="shared" si="17"/>
        <v>48078</v>
      </c>
      <c r="BG70" s="10">
        <f t="shared" si="17"/>
        <v>90192</v>
      </c>
      <c r="BH70" s="10">
        <f t="shared" si="17"/>
        <v>476864</v>
      </c>
      <c r="BI70" s="10">
        <f t="shared" si="17"/>
        <v>917506</v>
      </c>
      <c r="BJ70" s="10">
        <f t="shared" si="17"/>
        <v>163939</v>
      </c>
      <c r="BK70" s="10">
        <f t="shared" si="17"/>
        <v>362242</v>
      </c>
      <c r="BL70" s="10">
        <f t="shared" si="17"/>
        <v>177074</v>
      </c>
      <c r="BM70" s="10">
        <f t="shared" si="17"/>
        <v>389750</v>
      </c>
      <c r="BN70" s="10">
        <f t="shared" si="17"/>
        <v>19043</v>
      </c>
      <c r="BO70" s="10">
        <f t="shared" si="17"/>
        <v>43793</v>
      </c>
      <c r="BP70" s="88">
        <f t="shared" ref="BP70:BP73" si="18">SUM(B70+D70+F70+H70+J70+L70+N70+P70+R70+T70+V70+X70+Z70+AB70+AD70+AF70+AH70+AJ70+AL70+AN70+AP70+AR70+AT70+AV70+AX70+AZ70+BB70+BD70+BF70+BH70+BJ70+BL70+BN70)</f>
        <v>5242159.3719999995</v>
      </c>
      <c r="BQ70" s="88">
        <f t="shared" ref="BQ70:BQ73" si="19">SUM(C70+E70+G70+I70+K70+M70+O70+Q70+S70+U70+W70+Y70+AA70+AC70+AE70+AG70+AI70+AK70+AM70+AO70+AQ70+AS70+AU70+AW70+AY70+BA70+BC70+BE70+BG70+BI70+BK70+BM70+BO70)</f>
        <v>9282386.2530000024</v>
      </c>
    </row>
    <row r="71" spans="1:69" x14ac:dyDescent="0.25">
      <c r="A71" s="30" t="s">
        <v>276</v>
      </c>
      <c r="B71" s="10">
        <f t="shared" ref="B71:AI71" si="20">B79-B63-B55-B47-B39-B31-B23-B15-B7</f>
        <v>0</v>
      </c>
      <c r="C71" s="10">
        <f t="shared" si="20"/>
        <v>0</v>
      </c>
      <c r="D71" s="10">
        <f t="shared" si="20"/>
        <v>0</v>
      </c>
      <c r="E71" s="10">
        <f t="shared" si="20"/>
        <v>0</v>
      </c>
      <c r="F71" s="10">
        <f t="shared" si="20"/>
        <v>-22</v>
      </c>
      <c r="G71" s="10">
        <f t="shared" si="20"/>
        <v>-22</v>
      </c>
      <c r="H71" s="10">
        <f t="shared" si="20"/>
        <v>333</v>
      </c>
      <c r="I71" s="10">
        <f t="shared" si="20"/>
        <v>1056</v>
      </c>
      <c r="J71" s="10">
        <f t="shared" si="20"/>
        <v>0</v>
      </c>
      <c r="K71" s="10">
        <f t="shared" si="20"/>
        <v>0</v>
      </c>
      <c r="L71" s="10">
        <f t="shared" si="20"/>
        <v>88</v>
      </c>
      <c r="M71" s="10">
        <f t="shared" si="20"/>
        <v>130</v>
      </c>
      <c r="N71" s="10">
        <f t="shared" si="20"/>
        <v>0</v>
      </c>
      <c r="O71" s="10">
        <f t="shared" si="20"/>
        <v>0</v>
      </c>
      <c r="P71" s="10">
        <f t="shared" si="20"/>
        <v>0</v>
      </c>
      <c r="Q71" s="10">
        <f t="shared" si="20"/>
        <v>69</v>
      </c>
      <c r="R71" s="10">
        <f t="shared" si="20"/>
        <v>17</v>
      </c>
      <c r="S71" s="10">
        <f t="shared" si="20"/>
        <v>16</v>
      </c>
      <c r="T71" s="10">
        <f t="shared" si="20"/>
        <v>3276</v>
      </c>
      <c r="U71" s="10">
        <f t="shared" si="20"/>
        <v>10147</v>
      </c>
      <c r="V71" s="10">
        <f t="shared" si="20"/>
        <v>9680</v>
      </c>
      <c r="W71" s="10">
        <f t="shared" si="20"/>
        <v>24678</v>
      </c>
      <c r="X71" s="10">
        <f t="shared" si="20"/>
        <v>0</v>
      </c>
      <c r="Y71" s="10">
        <f t="shared" si="20"/>
        <v>0</v>
      </c>
      <c r="Z71" s="10">
        <f t="shared" si="20"/>
        <v>6477</v>
      </c>
      <c r="AA71" s="10">
        <f t="shared" si="20"/>
        <v>10723</v>
      </c>
      <c r="AB71" s="10">
        <f t="shared" si="20"/>
        <v>8541</v>
      </c>
      <c r="AC71" s="10">
        <f t="shared" si="20"/>
        <v>9583</v>
      </c>
      <c r="AD71" s="10">
        <f t="shared" si="20"/>
        <v>0</v>
      </c>
      <c r="AE71" s="10">
        <f t="shared" si="20"/>
        <v>11</v>
      </c>
      <c r="AF71" s="10">
        <f t="shared" si="20"/>
        <v>0</v>
      </c>
      <c r="AG71" s="10">
        <f t="shared" si="20"/>
        <v>22</v>
      </c>
      <c r="AH71" s="10">
        <f t="shared" si="20"/>
        <v>19</v>
      </c>
      <c r="AI71" s="10">
        <f t="shared" si="20"/>
        <v>89</v>
      </c>
      <c r="AJ71" s="10">
        <f t="shared" ref="AJ71:BO71" si="21">AJ79-AJ63-AJ55-AJ47-AJ39-AJ31-AJ23-AJ15-AJ7</f>
        <v>0</v>
      </c>
      <c r="AK71" s="10">
        <f t="shared" si="21"/>
        <v>0</v>
      </c>
      <c r="AL71" s="10">
        <f t="shared" si="21"/>
        <v>0</v>
      </c>
      <c r="AM71" s="10">
        <f t="shared" si="21"/>
        <v>0</v>
      </c>
      <c r="AN71" s="10">
        <f t="shared" si="21"/>
        <v>1213.7819999999974</v>
      </c>
      <c r="AO71" s="10">
        <f t="shared" si="21"/>
        <v>8896.2569999999978</v>
      </c>
      <c r="AP71" s="10">
        <f t="shared" si="21"/>
        <v>0</v>
      </c>
      <c r="AQ71" s="10">
        <f t="shared" si="21"/>
        <v>0</v>
      </c>
      <c r="AR71" s="10">
        <f t="shared" si="21"/>
        <v>4143</v>
      </c>
      <c r="AS71" s="10">
        <f t="shared" si="21"/>
        <v>8234</v>
      </c>
      <c r="AT71" s="10">
        <f t="shared" si="21"/>
        <v>1</v>
      </c>
      <c r="AU71" s="10">
        <f t="shared" si="21"/>
        <v>270</v>
      </c>
      <c r="AV71" s="10">
        <f t="shared" si="21"/>
        <v>0</v>
      </c>
      <c r="AW71" s="10">
        <f t="shared" si="21"/>
        <v>0</v>
      </c>
      <c r="AX71" s="10">
        <f t="shared" si="21"/>
        <v>0</v>
      </c>
      <c r="AY71" s="10">
        <f t="shared" si="21"/>
        <v>8</v>
      </c>
      <c r="AZ71" s="10">
        <f t="shared" si="21"/>
        <v>0</v>
      </c>
      <c r="BA71" s="10">
        <f t="shared" si="21"/>
        <v>106</v>
      </c>
      <c r="BB71" s="10">
        <f t="shared" si="21"/>
        <v>0</v>
      </c>
      <c r="BC71" s="10">
        <f t="shared" si="21"/>
        <v>3</v>
      </c>
      <c r="BD71" s="10">
        <f t="shared" si="21"/>
        <v>0</v>
      </c>
      <c r="BE71" s="10">
        <f t="shared" si="21"/>
        <v>0</v>
      </c>
      <c r="BF71" s="10">
        <f t="shared" si="21"/>
        <v>2363</v>
      </c>
      <c r="BG71" s="10">
        <f t="shared" si="21"/>
        <v>2577</v>
      </c>
      <c r="BH71" s="10">
        <f t="shared" si="21"/>
        <v>-173</v>
      </c>
      <c r="BI71" s="10">
        <f t="shared" si="21"/>
        <v>3763</v>
      </c>
      <c r="BJ71" s="10">
        <f t="shared" si="21"/>
        <v>-3581</v>
      </c>
      <c r="BK71" s="10">
        <f t="shared" si="21"/>
        <v>-2245</v>
      </c>
      <c r="BL71" s="10">
        <f t="shared" si="21"/>
        <v>-294</v>
      </c>
      <c r="BM71" s="10">
        <f t="shared" si="21"/>
        <v>-81</v>
      </c>
      <c r="BN71" s="10">
        <f t="shared" si="21"/>
        <v>0</v>
      </c>
      <c r="BO71" s="10">
        <f t="shared" si="21"/>
        <v>0</v>
      </c>
      <c r="BP71" s="88">
        <f t="shared" si="18"/>
        <v>32081.781999999999</v>
      </c>
      <c r="BQ71" s="88">
        <f t="shared" si="19"/>
        <v>78033.256999999998</v>
      </c>
    </row>
    <row r="72" spans="1:69" x14ac:dyDescent="0.25">
      <c r="A72" s="30" t="s">
        <v>277</v>
      </c>
      <c r="B72" s="10">
        <f t="shared" ref="B72:AI72" si="22">B80-B64-B56-B48-B40-B32-B24-B16-B8</f>
        <v>0</v>
      </c>
      <c r="C72" s="10">
        <f t="shared" si="22"/>
        <v>0</v>
      </c>
      <c r="D72" s="10">
        <f t="shared" si="22"/>
        <v>0</v>
      </c>
      <c r="E72" s="10">
        <f t="shared" si="22"/>
        <v>0</v>
      </c>
      <c r="F72" s="10">
        <f t="shared" si="22"/>
        <v>1270678</v>
      </c>
      <c r="G72" s="10">
        <f t="shared" si="22"/>
        <v>1370774</v>
      </c>
      <c r="H72" s="10">
        <f t="shared" si="22"/>
        <v>1075528</v>
      </c>
      <c r="I72" s="10">
        <f t="shared" si="22"/>
        <v>1261123</v>
      </c>
      <c r="J72" s="10">
        <f t="shared" si="22"/>
        <v>344546</v>
      </c>
      <c r="K72" s="10">
        <f t="shared" si="22"/>
        <v>355393</v>
      </c>
      <c r="L72" s="10">
        <f t="shared" si="22"/>
        <v>1455</v>
      </c>
      <c r="M72" s="10">
        <f t="shared" si="22"/>
        <v>3069</v>
      </c>
      <c r="N72" s="10">
        <f t="shared" si="22"/>
        <v>82121.600000000006</v>
      </c>
      <c r="O72" s="10">
        <f t="shared" si="22"/>
        <v>138828.54999999999</v>
      </c>
      <c r="P72" s="10">
        <f t="shared" si="22"/>
        <v>296</v>
      </c>
      <c r="Q72" s="10">
        <f t="shared" si="22"/>
        <v>333</v>
      </c>
      <c r="R72" s="10">
        <f t="shared" si="22"/>
        <v>144577</v>
      </c>
      <c r="S72" s="10">
        <f t="shared" si="22"/>
        <v>196436</v>
      </c>
      <c r="T72" s="10">
        <f t="shared" si="22"/>
        <v>10060</v>
      </c>
      <c r="U72" s="10">
        <f t="shared" si="22"/>
        <v>21937</v>
      </c>
      <c r="V72" s="10">
        <f t="shared" si="22"/>
        <v>-979597</v>
      </c>
      <c r="W72" s="10">
        <f t="shared" si="22"/>
        <v>-1124932</v>
      </c>
      <c r="X72" s="10">
        <f t="shared" si="22"/>
        <v>17</v>
      </c>
      <c r="Y72" s="10">
        <f t="shared" si="22"/>
        <v>51</v>
      </c>
      <c r="Z72" s="10">
        <f t="shared" si="22"/>
        <v>78765</v>
      </c>
      <c r="AA72" s="10">
        <f t="shared" si="22"/>
        <v>157269</v>
      </c>
      <c r="AB72" s="10">
        <f t="shared" si="22"/>
        <v>261872</v>
      </c>
      <c r="AC72" s="10">
        <f t="shared" si="22"/>
        <v>415222</v>
      </c>
      <c r="AD72" s="10">
        <f t="shared" si="22"/>
        <v>1017</v>
      </c>
      <c r="AE72" s="10">
        <f t="shared" si="22"/>
        <v>2085</v>
      </c>
      <c r="AF72" s="10">
        <f t="shared" si="22"/>
        <v>9713</v>
      </c>
      <c r="AG72" s="10">
        <f t="shared" si="22"/>
        <v>29198</v>
      </c>
      <c r="AH72" s="10">
        <f t="shared" si="22"/>
        <v>-9844</v>
      </c>
      <c r="AI72" s="10">
        <f t="shared" si="22"/>
        <v>-13981</v>
      </c>
      <c r="AJ72" s="10">
        <f t="shared" ref="AJ72:BO72" si="23">AJ80-AJ64-AJ56-AJ48-AJ40-AJ32-AJ24-AJ16-AJ8</f>
        <v>0</v>
      </c>
      <c r="AK72" s="10">
        <f t="shared" si="23"/>
        <v>0</v>
      </c>
      <c r="AL72" s="10">
        <f t="shared" si="23"/>
        <v>0</v>
      </c>
      <c r="AM72" s="10">
        <f t="shared" si="23"/>
        <v>0</v>
      </c>
      <c r="AN72" s="10">
        <f t="shared" si="23"/>
        <v>39234.960231464967</v>
      </c>
      <c r="AO72" s="10">
        <f t="shared" si="23"/>
        <v>56205.509119864728</v>
      </c>
      <c r="AP72" s="10">
        <f t="shared" si="23"/>
        <v>-35</v>
      </c>
      <c r="AQ72" s="10">
        <f t="shared" si="23"/>
        <v>-143</v>
      </c>
      <c r="AR72" s="10">
        <f t="shared" si="23"/>
        <v>6439</v>
      </c>
      <c r="AS72" s="10">
        <f t="shared" si="23"/>
        <v>10928</v>
      </c>
      <c r="AT72" s="10">
        <f t="shared" si="23"/>
        <v>441614</v>
      </c>
      <c r="AU72" s="10">
        <f t="shared" si="23"/>
        <v>539092</v>
      </c>
      <c r="AV72" s="10">
        <f t="shared" si="23"/>
        <v>0</v>
      </c>
      <c r="AW72" s="10">
        <f t="shared" si="23"/>
        <v>0</v>
      </c>
      <c r="AX72" s="10">
        <f t="shared" si="23"/>
        <v>-3956</v>
      </c>
      <c r="AY72" s="10">
        <f t="shared" si="23"/>
        <v>-7789</v>
      </c>
      <c r="AZ72" s="10">
        <f t="shared" si="23"/>
        <v>560495</v>
      </c>
      <c r="BA72" s="10">
        <f t="shared" si="23"/>
        <v>884395</v>
      </c>
      <c r="BB72" s="10">
        <f t="shared" si="23"/>
        <v>1059</v>
      </c>
      <c r="BC72" s="10">
        <f t="shared" si="23"/>
        <v>2079</v>
      </c>
      <c r="BD72" s="10">
        <f t="shared" si="23"/>
        <v>1557973</v>
      </c>
      <c r="BE72" s="10">
        <f t="shared" si="23"/>
        <v>2537946</v>
      </c>
      <c r="BF72" s="10">
        <f t="shared" si="23"/>
        <v>24553</v>
      </c>
      <c r="BG72" s="10">
        <f t="shared" si="23"/>
        <v>51715</v>
      </c>
      <c r="BH72" s="10">
        <f t="shared" si="23"/>
        <v>80591</v>
      </c>
      <c r="BI72" s="10">
        <f t="shared" si="23"/>
        <v>134253</v>
      </c>
      <c r="BJ72" s="10">
        <f t="shared" si="23"/>
        <v>98179</v>
      </c>
      <c r="BK72" s="10">
        <f t="shared" si="23"/>
        <v>119619</v>
      </c>
      <c r="BL72" s="10">
        <f t="shared" si="23"/>
        <v>29314</v>
      </c>
      <c r="BM72" s="10">
        <f t="shared" si="23"/>
        <v>120938</v>
      </c>
      <c r="BN72" s="10">
        <f t="shared" si="23"/>
        <v>249373</v>
      </c>
      <c r="BO72" s="10">
        <f t="shared" si="23"/>
        <v>287952</v>
      </c>
      <c r="BP72" s="88">
        <f t="shared" si="18"/>
        <v>5376038.5602314649</v>
      </c>
      <c r="BQ72" s="88">
        <f t="shared" si="19"/>
        <v>7549996.0591198644</v>
      </c>
    </row>
    <row r="73" spans="1:69" x14ac:dyDescent="0.25">
      <c r="A73" s="30" t="s">
        <v>226</v>
      </c>
      <c r="B73" s="10">
        <f>B81-B65-B57-B49-B41-B33-B25-B17-B9</f>
        <v>0</v>
      </c>
      <c r="C73" s="10">
        <f t="shared" ref="C73:AI73" si="24">C81-C65-C57-C49-C41-C33-C25-C17-C9</f>
        <v>0</v>
      </c>
      <c r="D73" s="10">
        <f t="shared" si="24"/>
        <v>0</v>
      </c>
      <c r="E73" s="10">
        <f t="shared" si="24"/>
        <v>0</v>
      </c>
      <c r="F73" s="10">
        <f t="shared" si="24"/>
        <v>-1306975</v>
      </c>
      <c r="G73" s="10">
        <f t="shared" si="24"/>
        <v>-1260054</v>
      </c>
      <c r="H73" s="10">
        <f t="shared" si="24"/>
        <v>-912149</v>
      </c>
      <c r="I73" s="10">
        <f t="shared" si="24"/>
        <v>-901651</v>
      </c>
      <c r="J73" s="10">
        <f t="shared" si="24"/>
        <v>-332938</v>
      </c>
      <c r="K73" s="10">
        <f t="shared" si="24"/>
        <v>-332203</v>
      </c>
      <c r="L73" s="10">
        <f t="shared" si="24"/>
        <v>11991</v>
      </c>
      <c r="M73" s="10">
        <f t="shared" si="24"/>
        <v>17570</v>
      </c>
      <c r="N73" s="10">
        <f t="shared" si="24"/>
        <v>-65411.88</v>
      </c>
      <c r="O73" s="10">
        <f t="shared" si="24"/>
        <v>-115638.61</v>
      </c>
      <c r="P73" s="10">
        <f t="shared" si="24"/>
        <v>-53</v>
      </c>
      <c r="Q73" s="10">
        <f t="shared" si="24"/>
        <v>3</v>
      </c>
      <c r="R73" s="10">
        <f t="shared" si="24"/>
        <v>-96808</v>
      </c>
      <c r="S73" s="10">
        <f t="shared" si="24"/>
        <v>-109268</v>
      </c>
      <c r="T73" s="10">
        <f t="shared" si="24"/>
        <v>12203</v>
      </c>
      <c r="U73" s="10">
        <f t="shared" si="24"/>
        <v>15695</v>
      </c>
      <c r="V73" s="10">
        <f t="shared" si="24"/>
        <v>-807198</v>
      </c>
      <c r="W73" s="10">
        <f t="shared" si="24"/>
        <v>-707206</v>
      </c>
      <c r="X73" s="10">
        <f t="shared" si="24"/>
        <v>298</v>
      </c>
      <c r="Y73" s="10">
        <f t="shared" si="24"/>
        <v>742</v>
      </c>
      <c r="Z73" s="10">
        <f t="shared" si="24"/>
        <v>101975</v>
      </c>
      <c r="AA73" s="10">
        <f t="shared" si="24"/>
        <v>176412</v>
      </c>
      <c r="AB73" s="10">
        <f t="shared" si="24"/>
        <v>-141846</v>
      </c>
      <c r="AC73" s="10">
        <f t="shared" si="24"/>
        <v>-183295</v>
      </c>
      <c r="AD73" s="10">
        <f t="shared" si="24"/>
        <v>3058</v>
      </c>
      <c r="AE73" s="10">
        <f t="shared" si="24"/>
        <v>4472</v>
      </c>
      <c r="AF73" s="10">
        <f t="shared" si="24"/>
        <v>11353</v>
      </c>
      <c r="AG73" s="10">
        <f t="shared" si="24"/>
        <v>17824</v>
      </c>
      <c r="AH73" s="10">
        <f t="shared" si="24"/>
        <v>-6706</v>
      </c>
      <c r="AI73" s="10">
        <f t="shared" si="24"/>
        <v>-8944</v>
      </c>
      <c r="AJ73" s="10">
        <f t="shared" ref="AJ73:BO73" si="25">AJ81-AJ65-AJ57-AJ49-AJ41-AJ33-AJ25-AJ17-AJ9</f>
        <v>0</v>
      </c>
      <c r="AK73" s="10">
        <f t="shared" si="25"/>
        <v>0</v>
      </c>
      <c r="AL73" s="10">
        <f t="shared" si="25"/>
        <v>0</v>
      </c>
      <c r="AM73" s="10">
        <f t="shared" si="25"/>
        <v>0</v>
      </c>
      <c r="AN73" s="10">
        <f t="shared" si="25"/>
        <v>53927.473768535565</v>
      </c>
      <c r="AO73" s="10">
        <f t="shared" si="25"/>
        <v>148065.06088013644</v>
      </c>
      <c r="AP73" s="10">
        <f t="shared" si="25"/>
        <v>79</v>
      </c>
      <c r="AQ73" s="10">
        <f t="shared" si="25"/>
        <v>-29</v>
      </c>
      <c r="AR73" s="10">
        <f t="shared" si="25"/>
        <v>21518</v>
      </c>
      <c r="AS73" s="10">
        <f t="shared" si="25"/>
        <v>42216</v>
      </c>
      <c r="AT73" s="10">
        <f t="shared" si="25"/>
        <v>-425894</v>
      </c>
      <c r="AU73" s="10">
        <f t="shared" si="25"/>
        <v>-507056</v>
      </c>
      <c r="AV73" s="10">
        <f t="shared" si="25"/>
        <v>1</v>
      </c>
      <c r="AW73" s="10">
        <f t="shared" si="25"/>
        <v>0</v>
      </c>
      <c r="AX73" s="10">
        <f t="shared" si="25"/>
        <v>584</v>
      </c>
      <c r="AY73" s="10">
        <f t="shared" si="25"/>
        <v>1016</v>
      </c>
      <c r="AZ73" s="10">
        <f t="shared" si="25"/>
        <v>-509708</v>
      </c>
      <c r="BA73" s="10">
        <f t="shared" si="25"/>
        <v>-795581</v>
      </c>
      <c r="BB73" s="10">
        <f t="shared" si="25"/>
        <v>2971</v>
      </c>
      <c r="BC73" s="10">
        <f t="shared" si="25"/>
        <v>5054</v>
      </c>
      <c r="BD73" s="10">
        <f t="shared" si="25"/>
        <v>1895762</v>
      </c>
      <c r="BE73" s="10">
        <f t="shared" si="25"/>
        <v>3021423</v>
      </c>
      <c r="BF73" s="10">
        <f t="shared" si="25"/>
        <v>25888</v>
      </c>
      <c r="BG73" s="10">
        <f t="shared" si="25"/>
        <v>41054</v>
      </c>
      <c r="BH73" s="10">
        <f t="shared" si="25"/>
        <v>396100</v>
      </c>
      <c r="BI73" s="10">
        <f t="shared" si="25"/>
        <v>787015</v>
      </c>
      <c r="BJ73" s="10">
        <f t="shared" si="25"/>
        <v>62179</v>
      </c>
      <c r="BK73" s="10">
        <f t="shared" si="25"/>
        <v>240378</v>
      </c>
      <c r="BL73" s="10">
        <f t="shared" si="25"/>
        <v>147466</v>
      </c>
      <c r="BM73" s="10">
        <f t="shared" si="25"/>
        <v>268731</v>
      </c>
      <c r="BN73" s="10">
        <f t="shared" si="25"/>
        <v>-230330</v>
      </c>
      <c r="BO73" s="10">
        <f t="shared" si="25"/>
        <v>-244159</v>
      </c>
      <c r="BP73" s="88">
        <f t="shared" si="18"/>
        <v>-2088663.4062314648</v>
      </c>
      <c r="BQ73" s="88">
        <f t="shared" si="19"/>
        <v>-377414.54911986366</v>
      </c>
    </row>
    <row r="74" spans="1:69" x14ac:dyDescent="0.25">
      <c r="A74" s="28"/>
    </row>
    <row r="75" spans="1:69" x14ac:dyDescent="0.25">
      <c r="A75" s="29" t="s">
        <v>42</v>
      </c>
    </row>
    <row r="76" spans="1:69" x14ac:dyDescent="0.25">
      <c r="A76" s="3" t="s">
        <v>0</v>
      </c>
      <c r="B76" s="116" t="s">
        <v>1</v>
      </c>
      <c r="C76" s="117"/>
      <c r="D76" s="116" t="s">
        <v>285</v>
      </c>
      <c r="E76" s="117"/>
      <c r="F76" s="116" t="s">
        <v>2</v>
      </c>
      <c r="G76" s="117"/>
      <c r="H76" s="116" t="s">
        <v>3</v>
      </c>
      <c r="I76" s="117"/>
      <c r="J76" s="116" t="s">
        <v>4</v>
      </c>
      <c r="K76" s="117"/>
      <c r="L76" s="116" t="s">
        <v>286</v>
      </c>
      <c r="M76" s="117"/>
      <c r="N76" s="116" t="s">
        <v>6</v>
      </c>
      <c r="O76" s="117"/>
      <c r="P76" s="116" t="s">
        <v>5</v>
      </c>
      <c r="Q76" s="117"/>
      <c r="R76" s="116" t="s">
        <v>7</v>
      </c>
      <c r="S76" s="117"/>
      <c r="T76" s="116" t="s">
        <v>287</v>
      </c>
      <c r="U76" s="117"/>
      <c r="V76" s="116" t="s">
        <v>8</v>
      </c>
      <c r="W76" s="117"/>
      <c r="X76" s="116" t="s">
        <v>288</v>
      </c>
      <c r="Y76" s="117"/>
      <c r="Z76" s="116" t="s">
        <v>9</v>
      </c>
      <c r="AA76" s="117"/>
      <c r="AB76" s="116" t="s">
        <v>10</v>
      </c>
      <c r="AC76" s="117"/>
      <c r="AD76" s="116" t="s">
        <v>289</v>
      </c>
      <c r="AE76" s="117"/>
      <c r="AF76" s="116" t="s">
        <v>11</v>
      </c>
      <c r="AG76" s="117"/>
      <c r="AH76" s="116" t="s">
        <v>12</v>
      </c>
      <c r="AI76" s="117"/>
      <c r="AJ76" s="116" t="s">
        <v>290</v>
      </c>
      <c r="AK76" s="117"/>
      <c r="AL76" s="116" t="s">
        <v>299</v>
      </c>
      <c r="AM76" s="117"/>
      <c r="AN76" s="116" t="s">
        <v>13</v>
      </c>
      <c r="AO76" s="117"/>
      <c r="AP76" s="116" t="s">
        <v>291</v>
      </c>
      <c r="AQ76" s="117"/>
      <c r="AR76" s="116" t="s">
        <v>292</v>
      </c>
      <c r="AS76" s="117"/>
      <c r="AT76" s="116" t="s">
        <v>307</v>
      </c>
      <c r="AU76" s="117"/>
      <c r="AV76" s="116" t="s">
        <v>293</v>
      </c>
      <c r="AW76" s="117"/>
      <c r="AX76" s="116" t="s">
        <v>14</v>
      </c>
      <c r="AY76" s="117"/>
      <c r="AZ76" s="116" t="s">
        <v>15</v>
      </c>
      <c r="BA76" s="117"/>
      <c r="BB76" s="116" t="s">
        <v>16</v>
      </c>
      <c r="BC76" s="117"/>
      <c r="BD76" s="116" t="s">
        <v>17</v>
      </c>
      <c r="BE76" s="117"/>
      <c r="BF76" s="116" t="s">
        <v>18</v>
      </c>
      <c r="BG76" s="117"/>
      <c r="BH76" s="116" t="s">
        <v>294</v>
      </c>
      <c r="BI76" s="117"/>
      <c r="BJ76" s="116" t="s">
        <v>295</v>
      </c>
      <c r="BK76" s="117"/>
      <c r="BL76" s="116" t="s">
        <v>19</v>
      </c>
      <c r="BM76" s="117"/>
      <c r="BN76" s="116" t="s">
        <v>20</v>
      </c>
      <c r="BO76" s="117"/>
      <c r="BP76" s="118" t="s">
        <v>21</v>
      </c>
      <c r="BQ76" s="119"/>
    </row>
    <row r="77" spans="1:69" ht="30" x14ac:dyDescent="0.25">
      <c r="A77" s="3"/>
      <c r="B77" s="67" t="s">
        <v>296</v>
      </c>
      <c r="C77" s="68" t="s">
        <v>297</v>
      </c>
      <c r="D77" s="67" t="s">
        <v>296</v>
      </c>
      <c r="E77" s="68" t="s">
        <v>297</v>
      </c>
      <c r="F77" s="67" t="s">
        <v>296</v>
      </c>
      <c r="G77" s="68" t="s">
        <v>297</v>
      </c>
      <c r="H77" s="67" t="s">
        <v>296</v>
      </c>
      <c r="I77" s="68" t="s">
        <v>297</v>
      </c>
      <c r="J77" s="67" t="s">
        <v>296</v>
      </c>
      <c r="K77" s="68" t="s">
        <v>297</v>
      </c>
      <c r="L77" s="67" t="s">
        <v>296</v>
      </c>
      <c r="M77" s="68" t="s">
        <v>297</v>
      </c>
      <c r="N77" s="67" t="s">
        <v>296</v>
      </c>
      <c r="O77" s="68" t="s">
        <v>297</v>
      </c>
      <c r="P77" s="67" t="s">
        <v>296</v>
      </c>
      <c r="Q77" s="68" t="s">
        <v>297</v>
      </c>
      <c r="R77" s="67" t="s">
        <v>296</v>
      </c>
      <c r="S77" s="68" t="s">
        <v>297</v>
      </c>
      <c r="T77" s="67" t="s">
        <v>296</v>
      </c>
      <c r="U77" s="68" t="s">
        <v>297</v>
      </c>
      <c r="V77" s="67" t="s">
        <v>296</v>
      </c>
      <c r="W77" s="68" t="s">
        <v>297</v>
      </c>
      <c r="X77" s="67" t="s">
        <v>296</v>
      </c>
      <c r="Y77" s="68" t="s">
        <v>297</v>
      </c>
      <c r="Z77" s="67" t="s">
        <v>296</v>
      </c>
      <c r="AA77" s="68" t="s">
        <v>297</v>
      </c>
      <c r="AB77" s="67" t="s">
        <v>296</v>
      </c>
      <c r="AC77" s="68" t="s">
        <v>297</v>
      </c>
      <c r="AD77" s="67" t="s">
        <v>296</v>
      </c>
      <c r="AE77" s="68" t="s">
        <v>297</v>
      </c>
      <c r="AF77" s="67" t="s">
        <v>296</v>
      </c>
      <c r="AG77" s="68" t="s">
        <v>297</v>
      </c>
      <c r="AH77" s="67" t="s">
        <v>296</v>
      </c>
      <c r="AI77" s="68" t="s">
        <v>297</v>
      </c>
      <c r="AJ77" s="67" t="s">
        <v>296</v>
      </c>
      <c r="AK77" s="68" t="s">
        <v>297</v>
      </c>
      <c r="AL77" s="67" t="s">
        <v>296</v>
      </c>
      <c r="AM77" s="68" t="s">
        <v>297</v>
      </c>
      <c r="AN77" s="67" t="s">
        <v>296</v>
      </c>
      <c r="AO77" s="68" t="s">
        <v>297</v>
      </c>
      <c r="AP77" s="67" t="s">
        <v>296</v>
      </c>
      <c r="AQ77" s="68" t="s">
        <v>297</v>
      </c>
      <c r="AR77" s="67" t="s">
        <v>296</v>
      </c>
      <c r="AS77" s="68" t="s">
        <v>297</v>
      </c>
      <c r="AT77" s="67" t="s">
        <v>296</v>
      </c>
      <c r="AU77" s="68" t="s">
        <v>297</v>
      </c>
      <c r="AV77" s="67" t="s">
        <v>296</v>
      </c>
      <c r="AW77" s="68" t="s">
        <v>297</v>
      </c>
      <c r="AX77" s="67" t="s">
        <v>296</v>
      </c>
      <c r="AY77" s="68" t="s">
        <v>297</v>
      </c>
      <c r="AZ77" s="67" t="s">
        <v>296</v>
      </c>
      <c r="BA77" s="68" t="s">
        <v>297</v>
      </c>
      <c r="BB77" s="67" t="s">
        <v>296</v>
      </c>
      <c r="BC77" s="68" t="s">
        <v>297</v>
      </c>
      <c r="BD77" s="67" t="s">
        <v>296</v>
      </c>
      <c r="BE77" s="68" t="s">
        <v>297</v>
      </c>
      <c r="BF77" s="67" t="s">
        <v>296</v>
      </c>
      <c r="BG77" s="68" t="s">
        <v>297</v>
      </c>
      <c r="BH77" s="67" t="s">
        <v>296</v>
      </c>
      <c r="BI77" s="68" t="s">
        <v>297</v>
      </c>
      <c r="BJ77" s="67" t="s">
        <v>296</v>
      </c>
      <c r="BK77" s="68" t="s">
        <v>297</v>
      </c>
      <c r="BL77" s="67" t="s">
        <v>296</v>
      </c>
      <c r="BM77" s="68" t="s">
        <v>297</v>
      </c>
      <c r="BN77" s="67" t="s">
        <v>296</v>
      </c>
      <c r="BO77" s="68" t="s">
        <v>297</v>
      </c>
      <c r="BP77" s="84" t="s">
        <v>280</v>
      </c>
      <c r="BQ77" s="85" t="s">
        <v>281</v>
      </c>
    </row>
    <row r="78" spans="1:69" x14ac:dyDescent="0.25">
      <c r="A78" s="30" t="s">
        <v>225</v>
      </c>
      <c r="B78" s="10">
        <v>19397</v>
      </c>
      <c r="C78" s="10">
        <v>28539</v>
      </c>
      <c r="D78" s="10">
        <v>401185</v>
      </c>
      <c r="E78" s="10">
        <v>700515</v>
      </c>
      <c r="F78" s="10">
        <v>-36275</v>
      </c>
      <c r="G78" s="10">
        <v>110742</v>
      </c>
      <c r="H78" s="10">
        <v>1808981</v>
      </c>
      <c r="I78" s="10">
        <v>3522587</v>
      </c>
      <c r="J78" s="10">
        <v>532261</v>
      </c>
      <c r="K78" s="10">
        <v>993592</v>
      </c>
      <c r="L78" s="10">
        <v>850850</v>
      </c>
      <c r="M78" s="10">
        <v>1469720</v>
      </c>
      <c r="N78" s="10">
        <v>16709.72</v>
      </c>
      <c r="O78" s="10">
        <v>23189.94</v>
      </c>
      <c r="P78" s="10">
        <v>47795</v>
      </c>
      <c r="Q78" s="10">
        <v>84255</v>
      </c>
      <c r="R78" s="10">
        <v>510722</v>
      </c>
      <c r="S78" s="10">
        <v>967059</v>
      </c>
      <c r="T78" s="10">
        <v>298937</v>
      </c>
      <c r="U78" s="10">
        <v>512410</v>
      </c>
      <c r="V78" s="10">
        <v>1732886</v>
      </c>
      <c r="W78" s="10">
        <v>3173914</v>
      </c>
      <c r="X78" s="10">
        <v>812277</v>
      </c>
      <c r="Y78" s="10">
        <v>1414184</v>
      </c>
      <c r="Z78" s="10">
        <v>3153073</v>
      </c>
      <c r="AA78" s="10">
        <v>5853408</v>
      </c>
      <c r="AB78" s="10">
        <v>1599965</v>
      </c>
      <c r="AC78" s="10">
        <v>2999538</v>
      </c>
      <c r="AD78" s="10">
        <v>116558</v>
      </c>
      <c r="AE78" s="10">
        <v>201378</v>
      </c>
      <c r="AF78" s="10">
        <v>358696</v>
      </c>
      <c r="AG78" s="10">
        <v>675602</v>
      </c>
      <c r="AH78" s="10">
        <v>187656</v>
      </c>
      <c r="AI78" s="10">
        <v>326040</v>
      </c>
      <c r="AJ78" s="92">
        <v>242667</v>
      </c>
      <c r="AK78" s="30">
        <v>400784</v>
      </c>
      <c r="AL78" s="10">
        <v>513506</v>
      </c>
      <c r="AM78" s="10">
        <v>868977</v>
      </c>
      <c r="AN78" s="10">
        <v>2451877.3301500003</v>
      </c>
      <c r="AO78" s="10">
        <v>4458303.9945100006</v>
      </c>
      <c r="AP78" s="10">
        <v>27148</v>
      </c>
      <c r="AQ78" s="10">
        <v>31728</v>
      </c>
      <c r="AR78" s="10">
        <v>70025</v>
      </c>
      <c r="AS78" s="10">
        <v>114252</v>
      </c>
      <c r="AT78" s="10">
        <v>966223</v>
      </c>
      <c r="AU78" s="10">
        <v>1999153</v>
      </c>
      <c r="AV78" s="10">
        <v>898536</v>
      </c>
      <c r="AW78" s="10">
        <v>1545140</v>
      </c>
      <c r="AX78" s="10">
        <v>687025</v>
      </c>
      <c r="AY78" s="10">
        <v>1352222</v>
      </c>
      <c r="AZ78" s="10">
        <v>1250814</v>
      </c>
      <c r="BA78" s="10">
        <v>2200924</v>
      </c>
      <c r="BB78" s="10">
        <v>328900</v>
      </c>
      <c r="BC78" s="10">
        <v>581967</v>
      </c>
      <c r="BD78" s="10">
        <v>3453735</v>
      </c>
      <c r="BE78" s="10">
        <v>5559369</v>
      </c>
      <c r="BF78" s="10">
        <v>1883082</v>
      </c>
      <c r="BG78" s="10">
        <v>3644978</v>
      </c>
      <c r="BH78" s="10">
        <v>6208083</v>
      </c>
      <c r="BI78" s="10">
        <v>13031146</v>
      </c>
      <c r="BJ78" s="10">
        <v>2466631</v>
      </c>
      <c r="BK78" s="10">
        <v>4421862</v>
      </c>
      <c r="BL78" s="108">
        <v>2491976</v>
      </c>
      <c r="BM78" s="108">
        <v>4918761</v>
      </c>
      <c r="BN78" s="10">
        <v>351239</v>
      </c>
      <c r="BO78" s="10">
        <v>702873</v>
      </c>
      <c r="BP78" s="88">
        <f t="shared" ref="BP78:BP80" si="26">SUM(B78+D78+F78+H78+J78+L78+N78+P78+R78+T78+V78+X78+Z78+AB78+AD78+AF78+AH78+AJ78+AL78+AN78+AP78+AR78+AT78+AV78+AX78+AZ78+BB78+BD78+BF78+BH78+BJ78+BL78+BN78)</f>
        <v>36703141.05015</v>
      </c>
      <c r="BQ78" s="88">
        <f t="shared" ref="BQ78:BQ80" si="27">SUM(C78+E78+G78+I78+K78+M78+O78+Q78+S78+U78+W78+Y78+AA78+AC78+AE78+AG78+AI78+AK78+AM78+AO78+AQ78+AS78+AU78+AW78+AY78+BA78+BC78+BE78+BG78+BI78+BK78+BM78+BO78)</f>
        <v>68889112.934509993</v>
      </c>
    </row>
    <row r="79" spans="1:69" x14ac:dyDescent="0.25">
      <c r="A79" s="30" t="s">
        <v>276</v>
      </c>
      <c r="B79" s="10"/>
      <c r="C79" s="10"/>
      <c r="D79" s="10"/>
      <c r="E79" s="10"/>
      <c r="F79" s="10">
        <v>-22</v>
      </c>
      <c r="G79" s="10">
        <v>-22</v>
      </c>
      <c r="H79" s="10">
        <v>17133</v>
      </c>
      <c r="I79" s="10">
        <v>35997</v>
      </c>
      <c r="J79" s="10">
        <v>6221</v>
      </c>
      <c r="K79" s="10">
        <v>13917</v>
      </c>
      <c r="L79" s="10">
        <v>971</v>
      </c>
      <c r="M79" s="10">
        <v>1807</v>
      </c>
      <c r="N79" s="10"/>
      <c r="O79" s="10"/>
      <c r="P79" s="10">
        <v>1345</v>
      </c>
      <c r="Q79" s="10">
        <v>5570</v>
      </c>
      <c r="R79" s="10">
        <v>9539</v>
      </c>
      <c r="S79" s="10">
        <v>37084</v>
      </c>
      <c r="T79" s="10">
        <v>120587</v>
      </c>
      <c r="U79" s="10">
        <v>364265</v>
      </c>
      <c r="V79" s="10">
        <v>25408</v>
      </c>
      <c r="W79" s="10">
        <v>78620</v>
      </c>
      <c r="X79" s="10"/>
      <c r="Y79" s="10"/>
      <c r="Z79" s="10">
        <v>111989</v>
      </c>
      <c r="AA79" s="10">
        <v>209920</v>
      </c>
      <c r="AB79" s="10">
        <v>26832</v>
      </c>
      <c r="AC79" s="10">
        <v>49592</v>
      </c>
      <c r="AD79" s="10">
        <v>238</v>
      </c>
      <c r="AE79" s="10">
        <v>816</v>
      </c>
      <c r="AF79" s="10">
        <v>1488</v>
      </c>
      <c r="AG79" s="10">
        <v>1933</v>
      </c>
      <c r="AH79" s="10">
        <v>8735</v>
      </c>
      <c r="AI79" s="10">
        <v>30397</v>
      </c>
      <c r="AJ79" s="92"/>
      <c r="AK79" s="30"/>
      <c r="AL79" s="10"/>
      <c r="AM79" s="10"/>
      <c r="AN79" s="10">
        <v>30291.987999999998</v>
      </c>
      <c r="AO79" s="10">
        <v>121338.66500000001</v>
      </c>
      <c r="AP79" s="10">
        <v>226</v>
      </c>
      <c r="AQ79" s="10">
        <v>389</v>
      </c>
      <c r="AR79" s="10">
        <v>5178</v>
      </c>
      <c r="AS79" s="10">
        <v>11271</v>
      </c>
      <c r="AT79" s="10">
        <v>14936</v>
      </c>
      <c r="AU79" s="10">
        <v>27983</v>
      </c>
      <c r="AV79" s="10">
        <v>445</v>
      </c>
      <c r="AW79" s="10">
        <v>1761</v>
      </c>
      <c r="AX79" s="10">
        <v>12407</v>
      </c>
      <c r="AY79" s="10">
        <v>36427</v>
      </c>
      <c r="AZ79" s="10">
        <v>3548</v>
      </c>
      <c r="BA79" s="10">
        <v>15812</v>
      </c>
      <c r="BB79" s="10">
        <v>2268</v>
      </c>
      <c r="BC79" s="10">
        <v>5179</v>
      </c>
      <c r="BD79" s="10"/>
      <c r="BE79" s="10"/>
      <c r="BF79" s="10">
        <v>32872</v>
      </c>
      <c r="BG79" s="10">
        <v>98612</v>
      </c>
      <c r="BH79" s="10">
        <v>542956</v>
      </c>
      <c r="BI79" s="10">
        <v>1196223</v>
      </c>
      <c r="BJ79" s="10">
        <v>135319</v>
      </c>
      <c r="BK79" s="10">
        <v>173963</v>
      </c>
      <c r="BL79" s="108">
        <v>22300</v>
      </c>
      <c r="BM79" s="108">
        <v>86665</v>
      </c>
      <c r="BN79" s="10">
        <v>1132</v>
      </c>
      <c r="BO79" s="10">
        <v>1943</v>
      </c>
      <c r="BP79" s="88">
        <f t="shared" si="26"/>
        <v>1134342.9879999999</v>
      </c>
      <c r="BQ79" s="88">
        <f t="shared" si="27"/>
        <v>2607462.665</v>
      </c>
    </row>
    <row r="80" spans="1:69" x14ac:dyDescent="0.25">
      <c r="A80" s="30" t="s">
        <v>277</v>
      </c>
      <c r="B80" s="10">
        <v>56132</v>
      </c>
      <c r="C80" s="10">
        <v>90034</v>
      </c>
      <c r="D80" s="10">
        <v>242450</v>
      </c>
      <c r="E80" s="10">
        <v>427224</v>
      </c>
      <c r="F80" s="10">
        <v>1270678</v>
      </c>
      <c r="G80" s="10">
        <v>1370774</v>
      </c>
      <c r="H80" s="10">
        <v>2203634</v>
      </c>
      <c r="I80" s="10">
        <v>4071120</v>
      </c>
      <c r="J80" s="10">
        <v>431679</v>
      </c>
      <c r="K80" s="10">
        <v>673315</v>
      </c>
      <c r="L80" s="10">
        <v>787763</v>
      </c>
      <c r="M80" s="10">
        <v>1322390</v>
      </c>
      <c r="N80" s="10">
        <v>82121.600000000006</v>
      </c>
      <c r="O80" s="10">
        <v>138828.54999999999</v>
      </c>
      <c r="P80" s="10">
        <v>8954</v>
      </c>
      <c r="Q80" s="10">
        <v>23173</v>
      </c>
      <c r="R80" s="10">
        <v>286786</v>
      </c>
      <c r="S80" s="10">
        <v>558867</v>
      </c>
      <c r="T80" s="10">
        <v>179014</v>
      </c>
      <c r="U80" s="10">
        <v>564637</v>
      </c>
      <c r="V80" s="10">
        <v>-2788091</v>
      </c>
      <c r="W80" s="10">
        <v>-4377081</v>
      </c>
      <c r="X80" s="10">
        <v>824346</v>
      </c>
      <c r="Y80" s="10">
        <v>1232185</v>
      </c>
      <c r="Z80" s="10">
        <v>1613653</v>
      </c>
      <c r="AA80" s="10">
        <v>3395693</v>
      </c>
      <c r="AB80" s="10">
        <v>912774</v>
      </c>
      <c r="AC80" s="10">
        <v>1816809</v>
      </c>
      <c r="AD80" s="10">
        <v>36602</v>
      </c>
      <c r="AE80" s="10">
        <v>62814</v>
      </c>
      <c r="AF80" s="10">
        <v>63293</v>
      </c>
      <c r="AG80" s="10">
        <v>150424</v>
      </c>
      <c r="AH80" s="10">
        <v>-354839</v>
      </c>
      <c r="AI80" s="10">
        <v>-615655</v>
      </c>
      <c r="AJ80" s="92">
        <v>26835</v>
      </c>
      <c r="AK80" s="30">
        <v>36073</v>
      </c>
      <c r="AL80" s="10">
        <v>406472</v>
      </c>
      <c r="AM80" s="10">
        <v>700201</v>
      </c>
      <c r="AN80" s="10">
        <v>322370.57</v>
      </c>
      <c r="AO80" s="10">
        <v>680051.35399999982</v>
      </c>
      <c r="AP80" s="10">
        <v>-12668</v>
      </c>
      <c r="AQ80" s="10">
        <v>-11665</v>
      </c>
      <c r="AR80" s="10">
        <v>13283</v>
      </c>
      <c r="AS80" s="10">
        <v>23235</v>
      </c>
      <c r="AT80" s="10">
        <v>1422246</v>
      </c>
      <c r="AU80" s="10">
        <v>2414978</v>
      </c>
      <c r="AV80" s="10">
        <v>925805</v>
      </c>
      <c r="AW80" s="10">
        <v>1602958</v>
      </c>
      <c r="AX80" s="10">
        <v>-490213</v>
      </c>
      <c r="AY80" s="10">
        <v>-801499</v>
      </c>
      <c r="AZ80" s="10">
        <v>2502858</v>
      </c>
      <c r="BA80" s="10">
        <v>3480075</v>
      </c>
      <c r="BB80" s="10">
        <v>31374</v>
      </c>
      <c r="BC80" s="10">
        <v>57657</v>
      </c>
      <c r="BD80" s="10">
        <v>1557973</v>
      </c>
      <c r="BE80" s="10">
        <v>2537946</v>
      </c>
      <c r="BF80" s="10">
        <v>1461155</v>
      </c>
      <c r="BG80" s="10">
        <v>2960638</v>
      </c>
      <c r="BH80" s="10">
        <v>845146</v>
      </c>
      <c r="BI80" s="10">
        <v>2076029</v>
      </c>
      <c r="BJ80" s="10">
        <v>484903</v>
      </c>
      <c r="BK80" s="10">
        <v>970487</v>
      </c>
      <c r="BL80" s="108">
        <v>421011</v>
      </c>
      <c r="BM80" s="108">
        <v>986111</v>
      </c>
      <c r="BN80" s="10">
        <v>381568</v>
      </c>
      <c r="BO80" s="10">
        <v>526616</v>
      </c>
      <c r="BP80" s="88">
        <f t="shared" si="26"/>
        <v>16157068.17</v>
      </c>
      <c r="BQ80" s="88">
        <f t="shared" si="27"/>
        <v>29145442.903999999</v>
      </c>
    </row>
    <row r="81" spans="1:69" x14ac:dyDescent="0.25">
      <c r="A81" s="30" t="s">
        <v>226</v>
      </c>
      <c r="B81" s="10">
        <v>-36735</v>
      </c>
      <c r="C81" s="10">
        <v>-61495</v>
      </c>
      <c r="D81" s="10">
        <v>158735</v>
      </c>
      <c r="E81" s="10">
        <v>273291</v>
      </c>
      <c r="F81" s="10">
        <v>-1306975</v>
      </c>
      <c r="G81" s="10">
        <v>-1260054</v>
      </c>
      <c r="H81" s="10">
        <v>-377520</v>
      </c>
      <c r="I81" s="10">
        <v>-512536</v>
      </c>
      <c r="J81" s="10">
        <v>106804</v>
      </c>
      <c r="K81" s="10">
        <v>334194</v>
      </c>
      <c r="L81" s="10">
        <v>64058</v>
      </c>
      <c r="M81" s="10">
        <v>149137</v>
      </c>
      <c r="N81" s="10">
        <v>-65411.88</v>
      </c>
      <c r="O81" s="10">
        <v>-115638.61</v>
      </c>
      <c r="P81" s="10">
        <v>40186</v>
      </c>
      <c r="Q81" s="10">
        <v>66652</v>
      </c>
      <c r="R81" s="10">
        <v>233475</v>
      </c>
      <c r="S81" s="10">
        <v>445275</v>
      </c>
      <c r="T81" s="10">
        <v>240510</v>
      </c>
      <c r="U81" s="10">
        <v>312038</v>
      </c>
      <c r="V81" s="10">
        <v>-1029797</v>
      </c>
      <c r="W81" s="10">
        <v>-1124546</v>
      </c>
      <c r="X81" s="10">
        <v>-12069</v>
      </c>
      <c r="Y81" s="10">
        <v>181999</v>
      </c>
      <c r="Z81" s="10">
        <v>1651409</v>
      </c>
      <c r="AA81" s="10">
        <v>2667635</v>
      </c>
      <c r="AB81" s="10">
        <v>714023</v>
      </c>
      <c r="AC81" s="10">
        <v>1232321</v>
      </c>
      <c r="AD81" s="10">
        <v>80194</v>
      </c>
      <c r="AE81" s="10">
        <v>139380</v>
      </c>
      <c r="AF81" s="10">
        <v>296891</v>
      </c>
      <c r="AG81" s="10">
        <v>527111</v>
      </c>
      <c r="AH81" s="10">
        <v>-158448</v>
      </c>
      <c r="AI81" s="10">
        <v>-259218</v>
      </c>
      <c r="AJ81" s="92">
        <v>215832</v>
      </c>
      <c r="AK81" s="30">
        <v>364711</v>
      </c>
      <c r="AL81" s="10">
        <v>107034</v>
      </c>
      <c r="AM81" s="10">
        <v>168776</v>
      </c>
      <c r="AN81" s="10">
        <v>2159798.7481500003</v>
      </c>
      <c r="AO81" s="10">
        <v>3899591.3055100008</v>
      </c>
      <c r="AP81" s="10">
        <v>14706</v>
      </c>
      <c r="AQ81" s="10">
        <v>20452</v>
      </c>
      <c r="AR81" s="10">
        <v>61921</v>
      </c>
      <c r="AS81" s="10">
        <v>102289</v>
      </c>
      <c r="AT81" s="10">
        <v>-441087</v>
      </c>
      <c r="AU81" s="10">
        <v>-387842</v>
      </c>
      <c r="AV81" s="10">
        <v>-26824</v>
      </c>
      <c r="AW81" s="10">
        <v>-56057</v>
      </c>
      <c r="AX81" s="10">
        <v>209219</v>
      </c>
      <c r="AY81" s="10">
        <v>587150</v>
      </c>
      <c r="AZ81" s="10">
        <v>-1248496</v>
      </c>
      <c r="BA81" s="10">
        <v>-1263339</v>
      </c>
      <c r="BB81" s="10">
        <v>299794</v>
      </c>
      <c r="BC81" s="10">
        <v>529490</v>
      </c>
      <c r="BD81" s="10">
        <v>1895762</v>
      </c>
      <c r="BE81" s="10">
        <v>3021423</v>
      </c>
      <c r="BF81" s="10">
        <v>454799</v>
      </c>
      <c r="BG81" s="10">
        <v>782952</v>
      </c>
      <c r="BH81" s="10">
        <v>5905893</v>
      </c>
      <c r="BI81" s="10">
        <v>12151340</v>
      </c>
      <c r="BJ81" s="10">
        <v>2117047</v>
      </c>
      <c r="BK81" s="10">
        <v>3625338</v>
      </c>
      <c r="BL81" s="108">
        <v>2093265</v>
      </c>
      <c r="BM81" s="108">
        <v>4019315</v>
      </c>
      <c r="BN81" s="10">
        <v>-29197</v>
      </c>
      <c r="BO81" s="10">
        <v>178200</v>
      </c>
      <c r="BP81" s="88">
        <f>SUM(B81+D81+F81+H81+J81+L81+N81+P81+R81+T81+V81+X81+Z81+AB81+AD81+AF81+AH81+AJ81+AL81+AN81+AP81+AR81+AT81+AV81+AX81+AZ81+BB81+BD81+BF81+BH81+BJ81+BL81+BN81)</f>
        <v>14388795.86815</v>
      </c>
      <c r="BQ81" s="88">
        <f>SUM(C81+E81+G81+I81+K81+M81+O81+Q81+S81+U81+W81+Y81+AA81+AC81+AE81+AG81+AI81+AK81+AM81+AO81+AQ81+AS81+AU81+AW81+AY81+BA81+BC81+BE81+BG81+BI81+BK81+BM81+BO81)</f>
        <v>30739334.69551</v>
      </c>
    </row>
  </sheetData>
  <mergeCells count="340">
    <mergeCell ref="J4:K4"/>
    <mergeCell ref="L4:M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BJ4:BK4"/>
    <mergeCell ref="BL4:BM4"/>
    <mergeCell ref="BN4:BO4"/>
    <mergeCell ref="BP4:BQ4"/>
    <mergeCell ref="B12:C12"/>
    <mergeCell ref="D12:E12"/>
    <mergeCell ref="F12:G12"/>
    <mergeCell ref="H12:I12"/>
    <mergeCell ref="J12:K12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B4:C4"/>
    <mergeCell ref="D4:E4"/>
    <mergeCell ref="F4:G4"/>
    <mergeCell ref="H4:I4"/>
    <mergeCell ref="BN12:BO12"/>
    <mergeCell ref="BP12:BQ12"/>
    <mergeCell ref="AV12:AW12"/>
    <mergeCell ref="AX12:AY12"/>
    <mergeCell ref="AZ12:BA12"/>
    <mergeCell ref="BB12:BC12"/>
    <mergeCell ref="BD12:BE12"/>
    <mergeCell ref="BF12:BG12"/>
    <mergeCell ref="R12:S12"/>
    <mergeCell ref="T12:U12"/>
    <mergeCell ref="V12:W12"/>
    <mergeCell ref="B20:C20"/>
    <mergeCell ref="D20:E20"/>
    <mergeCell ref="F20:G20"/>
    <mergeCell ref="H20:I20"/>
    <mergeCell ref="J20:K20"/>
    <mergeCell ref="L20:M20"/>
    <mergeCell ref="BH12:BI12"/>
    <mergeCell ref="BJ12:BK12"/>
    <mergeCell ref="BL12:BM12"/>
    <mergeCell ref="AJ12:AK12"/>
    <mergeCell ref="AL12:AM12"/>
    <mergeCell ref="AN12:AO12"/>
    <mergeCell ref="AP12:AQ12"/>
    <mergeCell ref="AR12:AS12"/>
    <mergeCell ref="AT12:AU12"/>
    <mergeCell ref="X12:Y12"/>
    <mergeCell ref="Z12:AA12"/>
    <mergeCell ref="AB12:AC12"/>
    <mergeCell ref="AD12:AE12"/>
    <mergeCell ref="AF12:AG12"/>
    <mergeCell ref="AH12:AI12"/>
    <mergeCell ref="L12:M12"/>
    <mergeCell ref="N12:O12"/>
    <mergeCell ref="P12:Q12"/>
    <mergeCell ref="AF20:AG20"/>
    <mergeCell ref="AH20:AI20"/>
    <mergeCell ref="AJ20:AK20"/>
    <mergeCell ref="N20:O20"/>
    <mergeCell ref="P20:Q20"/>
    <mergeCell ref="R20:S20"/>
    <mergeCell ref="T20:U20"/>
    <mergeCell ref="V20:W20"/>
    <mergeCell ref="X20:Y20"/>
    <mergeCell ref="BJ20:BK20"/>
    <mergeCell ref="BL20:BM20"/>
    <mergeCell ref="BN20:BO20"/>
    <mergeCell ref="BP20:BQ20"/>
    <mergeCell ref="B28:C28"/>
    <mergeCell ref="D28:E28"/>
    <mergeCell ref="F28:G28"/>
    <mergeCell ref="H28:I28"/>
    <mergeCell ref="J28:K28"/>
    <mergeCell ref="AX20:AY20"/>
    <mergeCell ref="AZ20:BA20"/>
    <mergeCell ref="BB20:BC20"/>
    <mergeCell ref="BD20:BE20"/>
    <mergeCell ref="BF20:BG20"/>
    <mergeCell ref="BH20:BI20"/>
    <mergeCell ref="AL20:AM20"/>
    <mergeCell ref="AN20:AO20"/>
    <mergeCell ref="AP20:AQ20"/>
    <mergeCell ref="AR20:AS20"/>
    <mergeCell ref="AT20:AU20"/>
    <mergeCell ref="AV20:AW20"/>
    <mergeCell ref="Z20:AA20"/>
    <mergeCell ref="AB20:AC20"/>
    <mergeCell ref="AD20:AE20"/>
    <mergeCell ref="BN28:BO28"/>
    <mergeCell ref="BP28:BQ28"/>
    <mergeCell ref="AV28:AW28"/>
    <mergeCell ref="AX28:AY28"/>
    <mergeCell ref="AZ28:BA28"/>
    <mergeCell ref="BB28:BC28"/>
    <mergeCell ref="BD28:BE28"/>
    <mergeCell ref="BF28:BG28"/>
    <mergeCell ref="R28:S28"/>
    <mergeCell ref="T28:U28"/>
    <mergeCell ref="V28:W28"/>
    <mergeCell ref="B36:C36"/>
    <mergeCell ref="D36:E36"/>
    <mergeCell ref="F36:G36"/>
    <mergeCell ref="H36:I36"/>
    <mergeCell ref="J36:K36"/>
    <mergeCell ref="L36:M36"/>
    <mergeCell ref="BH28:BI28"/>
    <mergeCell ref="BJ28:BK28"/>
    <mergeCell ref="BL28:BM28"/>
    <mergeCell ref="AJ28:AK28"/>
    <mergeCell ref="AL28:AM28"/>
    <mergeCell ref="AN28:AO28"/>
    <mergeCell ref="AP28:AQ28"/>
    <mergeCell ref="AR28:AS28"/>
    <mergeCell ref="AT28:AU28"/>
    <mergeCell ref="X28:Y28"/>
    <mergeCell ref="Z28:AA28"/>
    <mergeCell ref="AB28:AC28"/>
    <mergeCell ref="AD28:AE28"/>
    <mergeCell ref="AF28:AG28"/>
    <mergeCell ref="AH28:AI28"/>
    <mergeCell ref="L28:M28"/>
    <mergeCell ref="N28:O28"/>
    <mergeCell ref="P28:Q28"/>
    <mergeCell ref="AF36:AG36"/>
    <mergeCell ref="AH36:AI36"/>
    <mergeCell ref="AJ36:AK36"/>
    <mergeCell ref="N36:O36"/>
    <mergeCell ref="P36:Q36"/>
    <mergeCell ref="R36:S36"/>
    <mergeCell ref="T36:U36"/>
    <mergeCell ref="V36:W36"/>
    <mergeCell ref="X36:Y36"/>
    <mergeCell ref="BJ36:BK36"/>
    <mergeCell ref="BL36:BM36"/>
    <mergeCell ref="BN36:BO36"/>
    <mergeCell ref="BP36:BQ36"/>
    <mergeCell ref="B44:C44"/>
    <mergeCell ref="D44:E44"/>
    <mergeCell ref="F44:G44"/>
    <mergeCell ref="H44:I44"/>
    <mergeCell ref="J44:K44"/>
    <mergeCell ref="AX36:AY36"/>
    <mergeCell ref="AZ36:BA36"/>
    <mergeCell ref="BB36:BC36"/>
    <mergeCell ref="BD36:BE36"/>
    <mergeCell ref="BF36:BG36"/>
    <mergeCell ref="BH36:BI36"/>
    <mergeCell ref="AL36:AM36"/>
    <mergeCell ref="AN36:AO36"/>
    <mergeCell ref="AP36:AQ36"/>
    <mergeCell ref="AR36:AS36"/>
    <mergeCell ref="AT36:AU36"/>
    <mergeCell ref="AV36:AW36"/>
    <mergeCell ref="Z36:AA36"/>
    <mergeCell ref="AB36:AC36"/>
    <mergeCell ref="AD36:AE36"/>
    <mergeCell ref="BN44:BO44"/>
    <mergeCell ref="BP44:BQ44"/>
    <mergeCell ref="AV44:AW44"/>
    <mergeCell ref="AX44:AY44"/>
    <mergeCell ref="AZ44:BA44"/>
    <mergeCell ref="BB44:BC44"/>
    <mergeCell ref="BD44:BE44"/>
    <mergeCell ref="BF44:BG44"/>
    <mergeCell ref="R44:S44"/>
    <mergeCell ref="T44:U44"/>
    <mergeCell ref="V44:W44"/>
    <mergeCell ref="B52:C52"/>
    <mergeCell ref="D52:E52"/>
    <mergeCell ref="F52:G52"/>
    <mergeCell ref="H52:I52"/>
    <mergeCell ref="J52:K52"/>
    <mergeCell ref="L52:M52"/>
    <mergeCell ref="BH44:BI44"/>
    <mergeCell ref="BJ44:BK44"/>
    <mergeCell ref="BL44:BM44"/>
    <mergeCell ref="AJ44:AK44"/>
    <mergeCell ref="AL44:AM44"/>
    <mergeCell ref="AN44:AO44"/>
    <mergeCell ref="AP44:AQ44"/>
    <mergeCell ref="AR44:AS44"/>
    <mergeCell ref="AT44:AU44"/>
    <mergeCell ref="X44:Y44"/>
    <mergeCell ref="Z44:AA44"/>
    <mergeCell ref="AB44:AC44"/>
    <mergeCell ref="AD44:AE44"/>
    <mergeCell ref="AF44:AG44"/>
    <mergeCell ref="AH44:AI44"/>
    <mergeCell ref="L44:M44"/>
    <mergeCell ref="N44:O44"/>
    <mergeCell ref="P44:Q44"/>
    <mergeCell ref="AF52:AG52"/>
    <mergeCell ref="AH52:AI52"/>
    <mergeCell ref="AJ52:AK52"/>
    <mergeCell ref="N52:O52"/>
    <mergeCell ref="P52:Q52"/>
    <mergeCell ref="R52:S52"/>
    <mergeCell ref="T52:U52"/>
    <mergeCell ref="V52:W52"/>
    <mergeCell ref="X52:Y52"/>
    <mergeCell ref="BJ52:BK52"/>
    <mergeCell ref="BL52:BM52"/>
    <mergeCell ref="BN52:BO52"/>
    <mergeCell ref="BP52:BQ52"/>
    <mergeCell ref="B60:C60"/>
    <mergeCell ref="D60:E60"/>
    <mergeCell ref="F60:G60"/>
    <mergeCell ref="H60:I60"/>
    <mergeCell ref="J60:K60"/>
    <mergeCell ref="AX52:AY52"/>
    <mergeCell ref="AZ52:BA52"/>
    <mergeCell ref="BB52:BC52"/>
    <mergeCell ref="BD52:BE52"/>
    <mergeCell ref="BF52:BG52"/>
    <mergeCell ref="BH52:BI52"/>
    <mergeCell ref="AL52:AM52"/>
    <mergeCell ref="AN52:AO52"/>
    <mergeCell ref="AP52:AQ52"/>
    <mergeCell ref="AR52:AS52"/>
    <mergeCell ref="AT52:AU52"/>
    <mergeCell ref="AV52:AW52"/>
    <mergeCell ref="Z52:AA52"/>
    <mergeCell ref="AB52:AC52"/>
    <mergeCell ref="AD52:AE52"/>
    <mergeCell ref="BN60:BO60"/>
    <mergeCell ref="BP60:BQ60"/>
    <mergeCell ref="AV60:AW60"/>
    <mergeCell ref="AX60:AY60"/>
    <mergeCell ref="AZ60:BA60"/>
    <mergeCell ref="BB60:BC60"/>
    <mergeCell ref="BD60:BE60"/>
    <mergeCell ref="BF60:BG60"/>
    <mergeCell ref="R60:S60"/>
    <mergeCell ref="T60:U60"/>
    <mergeCell ref="V60:W60"/>
    <mergeCell ref="D68:E68"/>
    <mergeCell ref="F68:G68"/>
    <mergeCell ref="H68:I68"/>
    <mergeCell ref="J68:K68"/>
    <mergeCell ref="L68:M68"/>
    <mergeCell ref="BH60:BI60"/>
    <mergeCell ref="BJ60:BK60"/>
    <mergeCell ref="BL60:BM60"/>
    <mergeCell ref="AJ60:AK60"/>
    <mergeCell ref="AL60:AM60"/>
    <mergeCell ref="AN60:AO60"/>
    <mergeCell ref="AP60:AQ60"/>
    <mergeCell ref="AR60:AS60"/>
    <mergeCell ref="AT60:AU60"/>
    <mergeCell ref="X60:Y60"/>
    <mergeCell ref="Z60:AA60"/>
    <mergeCell ref="AB60:AC60"/>
    <mergeCell ref="AD60:AE60"/>
    <mergeCell ref="AF60:AG60"/>
    <mergeCell ref="AH60:AI60"/>
    <mergeCell ref="L60:M60"/>
    <mergeCell ref="N60:O60"/>
    <mergeCell ref="P60:Q60"/>
    <mergeCell ref="BP68:BQ68"/>
    <mergeCell ref="B76:C76"/>
    <mergeCell ref="D76:E76"/>
    <mergeCell ref="F76:G76"/>
    <mergeCell ref="H76:I76"/>
    <mergeCell ref="J76:K76"/>
    <mergeCell ref="AX68:AY68"/>
    <mergeCell ref="AZ68:BA68"/>
    <mergeCell ref="BB68:BC68"/>
    <mergeCell ref="BD68:BE68"/>
    <mergeCell ref="BF68:BG68"/>
    <mergeCell ref="BH68:BI68"/>
    <mergeCell ref="AL68:AM68"/>
    <mergeCell ref="AN68:AO68"/>
    <mergeCell ref="AP68:AQ68"/>
    <mergeCell ref="AR68:AS68"/>
    <mergeCell ref="AT68:AU68"/>
    <mergeCell ref="AV68:AW68"/>
    <mergeCell ref="Z68:AA68"/>
    <mergeCell ref="AB68:AC68"/>
    <mergeCell ref="AD68:AE68"/>
    <mergeCell ref="AF68:AG68"/>
    <mergeCell ref="AH68:AI68"/>
    <mergeCell ref="B68:C68"/>
    <mergeCell ref="L76:M76"/>
    <mergeCell ref="N76:O76"/>
    <mergeCell ref="P76:Q76"/>
    <mergeCell ref="R76:S76"/>
    <mergeCell ref="T76:U76"/>
    <mergeCell ref="V76:W76"/>
    <mergeCell ref="BJ68:BK68"/>
    <mergeCell ref="BL68:BM68"/>
    <mergeCell ref="BN68:BO68"/>
    <mergeCell ref="AJ68:AK68"/>
    <mergeCell ref="N68:O68"/>
    <mergeCell ref="P68:Q68"/>
    <mergeCell ref="R68:S68"/>
    <mergeCell ref="T68:U68"/>
    <mergeCell ref="V68:W68"/>
    <mergeCell ref="X68:Y68"/>
    <mergeCell ref="AJ76:AK76"/>
    <mergeCell ref="AL76:AM76"/>
    <mergeCell ref="AN76:AO76"/>
    <mergeCell ref="AP76:AQ76"/>
    <mergeCell ref="AR76:AS76"/>
    <mergeCell ref="AT76:AU76"/>
    <mergeCell ref="X76:Y76"/>
    <mergeCell ref="Z76:AA76"/>
    <mergeCell ref="BP76:BQ76"/>
    <mergeCell ref="AV76:AW76"/>
    <mergeCell ref="AX76:AY76"/>
    <mergeCell ref="AZ76:BA76"/>
    <mergeCell ref="BB76:BC76"/>
    <mergeCell ref="BD76:BE76"/>
    <mergeCell ref="BF76:BG76"/>
    <mergeCell ref="AB76:AC76"/>
    <mergeCell ref="AD76:AE76"/>
    <mergeCell ref="AF76:AG76"/>
    <mergeCell ref="AH76:AI76"/>
    <mergeCell ref="BH76:BI76"/>
    <mergeCell ref="BJ76:BK76"/>
    <mergeCell ref="BL76:BM76"/>
    <mergeCell ref="BN76:BO7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7109375" style="7" customWidth="1"/>
    <col min="2" max="35" width="16" style="7" customWidth="1"/>
    <col min="36" max="36" width="16" style="8" customWidth="1"/>
    <col min="37" max="69" width="16" style="7" customWidth="1"/>
    <col min="70" max="16384" width="9.140625" style="7"/>
  </cols>
  <sheetData>
    <row r="1" spans="1:69" ht="18.75" x14ac:dyDescent="0.3">
      <c r="A1" s="5" t="s">
        <v>202</v>
      </c>
    </row>
    <row r="2" spans="1:69" x14ac:dyDescent="0.25">
      <c r="A2" s="6" t="s">
        <v>34</v>
      </c>
    </row>
    <row r="3" spans="1:69" x14ac:dyDescent="0.25">
      <c r="A3" s="1" t="s">
        <v>0</v>
      </c>
      <c r="B3" s="116" t="s">
        <v>1</v>
      </c>
      <c r="C3" s="117"/>
      <c r="D3" s="116" t="s">
        <v>285</v>
      </c>
      <c r="E3" s="117"/>
      <c r="F3" s="116" t="s">
        <v>2</v>
      </c>
      <c r="G3" s="117"/>
      <c r="H3" s="116" t="s">
        <v>3</v>
      </c>
      <c r="I3" s="117"/>
      <c r="J3" s="116" t="s">
        <v>4</v>
      </c>
      <c r="K3" s="117"/>
      <c r="L3" s="116" t="s">
        <v>286</v>
      </c>
      <c r="M3" s="117"/>
      <c r="N3" s="116" t="s">
        <v>6</v>
      </c>
      <c r="O3" s="117"/>
      <c r="P3" s="116" t="s">
        <v>5</v>
      </c>
      <c r="Q3" s="117"/>
      <c r="R3" s="116" t="s">
        <v>7</v>
      </c>
      <c r="S3" s="117"/>
      <c r="T3" s="116" t="s">
        <v>287</v>
      </c>
      <c r="U3" s="117"/>
      <c r="V3" s="116" t="s">
        <v>8</v>
      </c>
      <c r="W3" s="117"/>
      <c r="X3" s="116" t="s">
        <v>288</v>
      </c>
      <c r="Y3" s="117"/>
      <c r="Z3" s="116" t="s">
        <v>9</v>
      </c>
      <c r="AA3" s="117"/>
      <c r="AB3" s="116" t="s">
        <v>10</v>
      </c>
      <c r="AC3" s="117"/>
      <c r="AD3" s="116" t="s">
        <v>289</v>
      </c>
      <c r="AE3" s="117"/>
      <c r="AF3" s="116" t="s">
        <v>11</v>
      </c>
      <c r="AG3" s="117"/>
      <c r="AH3" s="116" t="s">
        <v>12</v>
      </c>
      <c r="AI3" s="117"/>
      <c r="AJ3" s="116" t="s">
        <v>290</v>
      </c>
      <c r="AK3" s="117"/>
      <c r="AL3" s="116" t="s">
        <v>299</v>
      </c>
      <c r="AM3" s="117"/>
      <c r="AN3" s="116" t="s">
        <v>13</v>
      </c>
      <c r="AO3" s="117"/>
      <c r="AP3" s="116" t="s">
        <v>291</v>
      </c>
      <c r="AQ3" s="117"/>
      <c r="AR3" s="116" t="s">
        <v>292</v>
      </c>
      <c r="AS3" s="117"/>
      <c r="AT3" s="116" t="s">
        <v>307</v>
      </c>
      <c r="AU3" s="117"/>
      <c r="AV3" s="116" t="s">
        <v>293</v>
      </c>
      <c r="AW3" s="117"/>
      <c r="AX3" s="116" t="s">
        <v>14</v>
      </c>
      <c r="AY3" s="117"/>
      <c r="AZ3" s="116" t="s">
        <v>15</v>
      </c>
      <c r="BA3" s="117"/>
      <c r="BB3" s="116" t="s">
        <v>16</v>
      </c>
      <c r="BC3" s="117"/>
      <c r="BD3" s="116" t="s">
        <v>17</v>
      </c>
      <c r="BE3" s="117"/>
      <c r="BF3" s="116" t="s">
        <v>18</v>
      </c>
      <c r="BG3" s="117"/>
      <c r="BH3" s="116" t="s">
        <v>294</v>
      </c>
      <c r="BI3" s="117"/>
      <c r="BJ3" s="116" t="s">
        <v>295</v>
      </c>
      <c r="BK3" s="117"/>
      <c r="BL3" s="116" t="s">
        <v>19</v>
      </c>
      <c r="BM3" s="117"/>
      <c r="BN3" s="116" t="s">
        <v>20</v>
      </c>
      <c r="BO3" s="117"/>
      <c r="BP3" s="120" t="s">
        <v>21</v>
      </c>
      <c r="BQ3" s="120"/>
    </row>
    <row r="4" spans="1:69" ht="30" x14ac:dyDescent="0.25">
      <c r="A4" s="1"/>
      <c r="B4" s="67" t="s">
        <v>296</v>
      </c>
      <c r="C4" s="68" t="s">
        <v>297</v>
      </c>
      <c r="D4" s="67" t="s">
        <v>296</v>
      </c>
      <c r="E4" s="68" t="s">
        <v>297</v>
      </c>
      <c r="F4" s="67" t="s">
        <v>296</v>
      </c>
      <c r="G4" s="68" t="s">
        <v>297</v>
      </c>
      <c r="H4" s="67" t="s">
        <v>296</v>
      </c>
      <c r="I4" s="68" t="s">
        <v>297</v>
      </c>
      <c r="J4" s="67" t="s">
        <v>296</v>
      </c>
      <c r="K4" s="68" t="s">
        <v>297</v>
      </c>
      <c r="L4" s="67" t="s">
        <v>296</v>
      </c>
      <c r="M4" s="68" t="s">
        <v>297</v>
      </c>
      <c r="N4" s="67" t="s">
        <v>296</v>
      </c>
      <c r="O4" s="68" t="s">
        <v>297</v>
      </c>
      <c r="P4" s="67" t="s">
        <v>296</v>
      </c>
      <c r="Q4" s="68" t="s">
        <v>297</v>
      </c>
      <c r="R4" s="67" t="s">
        <v>296</v>
      </c>
      <c r="S4" s="68" t="s">
        <v>297</v>
      </c>
      <c r="T4" s="67" t="s">
        <v>296</v>
      </c>
      <c r="U4" s="68" t="s">
        <v>297</v>
      </c>
      <c r="V4" s="67" t="s">
        <v>296</v>
      </c>
      <c r="W4" s="68" t="s">
        <v>297</v>
      </c>
      <c r="X4" s="67" t="s">
        <v>296</v>
      </c>
      <c r="Y4" s="68" t="s">
        <v>297</v>
      </c>
      <c r="Z4" s="67" t="s">
        <v>296</v>
      </c>
      <c r="AA4" s="68" t="s">
        <v>297</v>
      </c>
      <c r="AB4" s="67" t="s">
        <v>296</v>
      </c>
      <c r="AC4" s="68" t="s">
        <v>297</v>
      </c>
      <c r="AD4" s="67" t="s">
        <v>296</v>
      </c>
      <c r="AE4" s="68" t="s">
        <v>297</v>
      </c>
      <c r="AF4" s="67" t="s">
        <v>296</v>
      </c>
      <c r="AG4" s="68" t="s">
        <v>297</v>
      </c>
      <c r="AH4" s="67" t="s">
        <v>296</v>
      </c>
      <c r="AI4" s="68" t="s">
        <v>297</v>
      </c>
      <c r="AJ4" s="67" t="s">
        <v>296</v>
      </c>
      <c r="AK4" s="68" t="s">
        <v>297</v>
      </c>
      <c r="AL4" s="67" t="s">
        <v>296</v>
      </c>
      <c r="AM4" s="68" t="s">
        <v>297</v>
      </c>
      <c r="AN4" s="67" t="s">
        <v>296</v>
      </c>
      <c r="AO4" s="68" t="s">
        <v>297</v>
      </c>
      <c r="AP4" s="67" t="s">
        <v>296</v>
      </c>
      <c r="AQ4" s="68" t="s">
        <v>297</v>
      </c>
      <c r="AR4" s="67" t="s">
        <v>296</v>
      </c>
      <c r="AS4" s="68" t="s">
        <v>297</v>
      </c>
      <c r="AT4" s="67" t="s">
        <v>296</v>
      </c>
      <c r="AU4" s="68" t="s">
        <v>297</v>
      </c>
      <c r="AV4" s="67" t="s">
        <v>296</v>
      </c>
      <c r="AW4" s="68" t="s">
        <v>297</v>
      </c>
      <c r="AX4" s="67" t="s">
        <v>296</v>
      </c>
      <c r="AY4" s="68" t="s">
        <v>297</v>
      </c>
      <c r="AZ4" s="67" t="s">
        <v>296</v>
      </c>
      <c r="BA4" s="68" t="s">
        <v>297</v>
      </c>
      <c r="BB4" s="67" t="s">
        <v>296</v>
      </c>
      <c r="BC4" s="68" t="s">
        <v>297</v>
      </c>
      <c r="BD4" s="67" t="s">
        <v>296</v>
      </c>
      <c r="BE4" s="68" t="s">
        <v>297</v>
      </c>
      <c r="BF4" s="67" t="s">
        <v>296</v>
      </c>
      <c r="BG4" s="68" t="s">
        <v>297</v>
      </c>
      <c r="BH4" s="67" t="s">
        <v>296</v>
      </c>
      <c r="BI4" s="68" t="s">
        <v>297</v>
      </c>
      <c r="BJ4" s="67" t="s">
        <v>296</v>
      </c>
      <c r="BK4" s="68" t="s">
        <v>297</v>
      </c>
      <c r="BL4" s="67" t="s">
        <v>296</v>
      </c>
      <c r="BM4" s="68" t="s">
        <v>297</v>
      </c>
      <c r="BN4" s="67" t="s">
        <v>296</v>
      </c>
      <c r="BO4" s="68" t="s">
        <v>297</v>
      </c>
      <c r="BP4" s="84" t="s">
        <v>280</v>
      </c>
      <c r="BQ4" s="85" t="s">
        <v>281</v>
      </c>
    </row>
    <row r="5" spans="1:69" x14ac:dyDescent="0.25">
      <c r="A5" s="26" t="s">
        <v>203</v>
      </c>
      <c r="B5" s="10">
        <v>132379</v>
      </c>
      <c r="C5" s="10">
        <v>216951</v>
      </c>
      <c r="D5" s="10">
        <v>796999</v>
      </c>
      <c r="E5" s="10">
        <v>1543922</v>
      </c>
      <c r="F5" s="10">
        <v>176127</v>
      </c>
      <c r="G5" s="10">
        <v>308328</v>
      </c>
      <c r="H5" s="10">
        <v>1956672</v>
      </c>
      <c r="I5" s="10">
        <v>3819146</v>
      </c>
      <c r="J5" s="10">
        <v>599399</v>
      </c>
      <c r="K5" s="10">
        <v>1127388</v>
      </c>
      <c r="L5" s="10">
        <v>348277</v>
      </c>
      <c r="M5" s="10">
        <v>727166</v>
      </c>
      <c r="N5" s="10">
        <v>383956.83</v>
      </c>
      <c r="O5" s="10">
        <v>663673.92000000004</v>
      </c>
      <c r="P5" s="10">
        <v>155935</v>
      </c>
      <c r="Q5" s="10">
        <v>273290</v>
      </c>
      <c r="R5" s="10">
        <v>512627</v>
      </c>
      <c r="S5" s="10">
        <v>1001752</v>
      </c>
      <c r="T5" s="10">
        <v>325300</v>
      </c>
      <c r="U5" s="10">
        <v>705772</v>
      </c>
      <c r="V5" s="10">
        <v>954427</v>
      </c>
      <c r="W5" s="10">
        <v>1879668</v>
      </c>
      <c r="X5" s="10">
        <v>382158</v>
      </c>
      <c r="Y5" s="10">
        <v>869175</v>
      </c>
      <c r="Z5" s="10">
        <v>1776246</v>
      </c>
      <c r="AA5" s="10">
        <v>3815118</v>
      </c>
      <c r="AB5" s="10">
        <v>798775</v>
      </c>
      <c r="AC5" s="10">
        <v>1752654</v>
      </c>
      <c r="AD5" s="10">
        <v>151430</v>
      </c>
      <c r="AE5" s="10">
        <v>351228</v>
      </c>
      <c r="AF5" s="10">
        <v>387780</v>
      </c>
      <c r="AG5" s="10">
        <v>760485</v>
      </c>
      <c r="AH5" s="10">
        <v>22701</v>
      </c>
      <c r="AI5" s="10">
        <v>66561</v>
      </c>
      <c r="AJ5" s="92">
        <v>366015</v>
      </c>
      <c r="AK5" s="10">
        <v>686334</v>
      </c>
      <c r="AL5" s="10">
        <v>540532</v>
      </c>
      <c r="AM5" s="10">
        <v>1105826</v>
      </c>
      <c r="AN5" s="108">
        <v>7450397</v>
      </c>
      <c r="AO5" s="108">
        <v>14006135</v>
      </c>
      <c r="AP5" s="10">
        <v>84953</v>
      </c>
      <c r="AQ5" s="10">
        <v>162427</v>
      </c>
      <c r="AR5" s="10">
        <v>102399</v>
      </c>
      <c r="AS5" s="10">
        <v>205908</v>
      </c>
      <c r="AT5" s="10">
        <v>896983</v>
      </c>
      <c r="AU5" s="10">
        <v>2087733</v>
      </c>
      <c r="AV5" s="10">
        <v>1008021</v>
      </c>
      <c r="AW5" s="10">
        <v>1935459</v>
      </c>
      <c r="AX5" s="10">
        <v>458191</v>
      </c>
      <c r="AY5" s="10">
        <v>950610</v>
      </c>
      <c r="AZ5" s="10">
        <v>953029</v>
      </c>
      <c r="BA5" s="10">
        <v>1875613</v>
      </c>
      <c r="BB5" s="10">
        <v>231386</v>
      </c>
      <c r="BC5" s="10">
        <v>483010</v>
      </c>
      <c r="BD5" s="10">
        <v>2987799</v>
      </c>
      <c r="BE5" s="10">
        <v>5088711</v>
      </c>
      <c r="BF5" s="10">
        <v>1353775</v>
      </c>
      <c r="BG5" s="10">
        <v>2568478</v>
      </c>
      <c r="BH5" s="10">
        <v>6799923</v>
      </c>
      <c r="BI5" s="10">
        <v>21715769</v>
      </c>
      <c r="BJ5" s="10">
        <v>4715820</v>
      </c>
      <c r="BK5" s="10">
        <v>13452754</v>
      </c>
      <c r="BL5" s="108">
        <v>6846977</v>
      </c>
      <c r="BM5" s="108">
        <v>14342113</v>
      </c>
      <c r="BN5" s="10">
        <v>200121</v>
      </c>
      <c r="BO5" s="10">
        <v>384826</v>
      </c>
      <c r="BP5" s="88">
        <f>SUM(B5+D5+F5+H5+J5+L5+N5+P5+R5+T5+V5+X5+Z5+AB5+AD5+AF5+AH5+AJ5+AL5+AN5+AP5+AR5+AT5+AV5+AX5+AZ5+BB5+BD5+BF5+BH5+BJ5+BL5+BN5)</f>
        <v>44857509.829999998</v>
      </c>
      <c r="BQ5" s="88">
        <f>SUM(C5+E5+G5+I5+K5+M5+O5+Q5+S5+U5+W5+Y5+AA5+AC5+AE5+AG5+AI5+AK5+AM5+AO5+AQ5+AS5+AU5+AW5+AY5+BA5+BC5+BE5+BG5+BI5+BK5+BM5+BO5)</f>
        <v>100933983.92</v>
      </c>
    </row>
    <row r="6" spans="1:69" x14ac:dyDescent="0.25">
      <c r="A6" s="26" t="s">
        <v>204</v>
      </c>
      <c r="B6" s="10">
        <v>-29</v>
      </c>
      <c r="C6" s="10">
        <v>168</v>
      </c>
      <c r="D6" s="10">
        <v>4871</v>
      </c>
      <c r="E6" s="10">
        <v>7603</v>
      </c>
      <c r="F6" s="10">
        <v>3028</v>
      </c>
      <c r="G6" s="10">
        <v>3739</v>
      </c>
      <c r="H6" s="10">
        <v>23561</v>
      </c>
      <c r="I6" s="10">
        <v>31693</v>
      </c>
      <c r="J6" s="10">
        <v>30433</v>
      </c>
      <c r="K6" s="10">
        <v>37851</v>
      </c>
      <c r="L6" s="10">
        <v>4937</v>
      </c>
      <c r="M6" s="10">
        <v>10231</v>
      </c>
      <c r="N6" s="10">
        <v>13084.28</v>
      </c>
      <c r="O6" s="10">
        <v>20070.009999999998</v>
      </c>
      <c r="P6" s="10">
        <v>-1761</v>
      </c>
      <c r="Q6" s="10">
        <v>-543</v>
      </c>
      <c r="R6" s="10">
        <v>28081</v>
      </c>
      <c r="S6" s="10">
        <v>51620</v>
      </c>
      <c r="T6" s="10">
        <v>7324</v>
      </c>
      <c r="U6" s="10">
        <v>8723</v>
      </c>
      <c r="V6" s="10">
        <v>8588</v>
      </c>
      <c r="W6" s="10">
        <v>8923</v>
      </c>
      <c r="X6" s="10">
        <v>6450</v>
      </c>
      <c r="Y6" s="10">
        <v>7768</v>
      </c>
      <c r="Z6" s="10">
        <v>45998</v>
      </c>
      <c r="AA6" s="10">
        <v>73440</v>
      </c>
      <c r="AB6" s="10">
        <v>12891</v>
      </c>
      <c r="AC6" s="10">
        <v>18844</v>
      </c>
      <c r="AD6" s="10">
        <v>659</v>
      </c>
      <c r="AE6" s="10">
        <v>2352</v>
      </c>
      <c r="AF6" s="10">
        <v>559</v>
      </c>
      <c r="AG6" s="10">
        <v>2601</v>
      </c>
      <c r="AH6" s="10">
        <v>177</v>
      </c>
      <c r="AI6" s="10">
        <v>390</v>
      </c>
      <c r="AJ6" s="92">
        <v>-1256</v>
      </c>
      <c r="AK6" s="10">
        <v>-1236</v>
      </c>
      <c r="AL6" s="10">
        <v>11454</v>
      </c>
      <c r="AM6" s="10">
        <v>21818</v>
      </c>
      <c r="AN6" s="108">
        <v>45413</v>
      </c>
      <c r="AO6" s="108">
        <v>76389</v>
      </c>
      <c r="AP6" s="10">
        <v>666</v>
      </c>
      <c r="AQ6" s="10">
        <v>770</v>
      </c>
      <c r="AR6" s="10">
        <v>378</v>
      </c>
      <c r="AS6" s="10">
        <v>628</v>
      </c>
      <c r="AT6" s="10">
        <v>44865</v>
      </c>
      <c r="AU6" s="10">
        <v>97213</v>
      </c>
      <c r="AV6" s="10">
        <v>4706</v>
      </c>
      <c r="AW6" s="10">
        <v>29407</v>
      </c>
      <c r="AX6" s="10">
        <v>2786</v>
      </c>
      <c r="AY6" s="10">
        <v>5009</v>
      </c>
      <c r="AZ6" s="10">
        <v>23178</v>
      </c>
      <c r="BA6" s="10">
        <v>34470</v>
      </c>
      <c r="BB6" s="10">
        <v>18467</v>
      </c>
      <c r="BC6" s="10">
        <v>27972</v>
      </c>
      <c r="BD6" s="10">
        <v>29538</v>
      </c>
      <c r="BE6" s="10">
        <v>43868</v>
      </c>
      <c r="BF6" s="10">
        <v>17668</v>
      </c>
      <c r="BG6" s="10">
        <v>17372</v>
      </c>
      <c r="BH6" s="10">
        <v>81946</v>
      </c>
      <c r="BI6" s="10">
        <v>130831</v>
      </c>
      <c r="BJ6" s="10">
        <v>45373</v>
      </c>
      <c r="BK6" s="10">
        <v>74843</v>
      </c>
      <c r="BL6" s="108">
        <v>42543</v>
      </c>
      <c r="BM6" s="108">
        <v>69555</v>
      </c>
      <c r="BN6" s="10">
        <v>3398</v>
      </c>
      <c r="BO6" s="10">
        <v>5908</v>
      </c>
      <c r="BP6" s="88">
        <f t="shared" ref="BP6:BP18" si="0">SUM(B6+D6+F6+H6+J6+L6+N6+P6+R6+T6+V6+X6+Z6+AB6+AD6+AF6+AH6+AJ6+AL6+AN6+AP6+AR6+AT6+AV6+AX6+AZ6+BB6+BD6+BF6+BH6+BJ6+BL6+BN6)</f>
        <v>559974.28</v>
      </c>
      <c r="BQ6" s="88">
        <f t="shared" ref="BQ6:BQ18" si="1">SUM(C6+E6+G6+I6+K6+M6+O6+Q6+S6+U6+W6+Y6+AA6+AC6+AE6+AG6+AI6+AK6+AM6+AO6+AQ6+AS6+AU6+AW6+AY6+BA6+BC6+BE6+BG6+BI6+BK6+BM6+BO6)</f>
        <v>920290.01</v>
      </c>
    </row>
    <row r="7" spans="1:69" x14ac:dyDescent="0.25">
      <c r="A7" s="26" t="s">
        <v>205</v>
      </c>
      <c r="B7" s="10">
        <v>41</v>
      </c>
      <c r="C7" s="10">
        <v>43</v>
      </c>
      <c r="D7" s="10">
        <v>-8371</v>
      </c>
      <c r="E7" s="10">
        <v>2809</v>
      </c>
      <c r="F7" s="10">
        <v>83</v>
      </c>
      <c r="G7" s="10">
        <v>83</v>
      </c>
      <c r="H7" s="10">
        <v>277</v>
      </c>
      <c r="I7" s="10">
        <v>288</v>
      </c>
      <c r="J7" s="10">
        <v>4841</v>
      </c>
      <c r="K7" s="10">
        <v>18671</v>
      </c>
      <c r="L7" s="10">
        <v>5249</v>
      </c>
      <c r="M7" s="10">
        <v>12195</v>
      </c>
      <c r="N7" s="10">
        <v>241.42</v>
      </c>
      <c r="O7" s="10">
        <v>241.42</v>
      </c>
      <c r="P7" s="10">
        <v>-414</v>
      </c>
      <c r="Q7" s="10">
        <v>252</v>
      </c>
      <c r="R7" s="10">
        <v>45672</v>
      </c>
      <c r="S7" s="10">
        <v>79026</v>
      </c>
      <c r="T7" s="10">
        <v>979</v>
      </c>
      <c r="U7" s="10">
        <v>3960</v>
      </c>
      <c r="V7" s="10">
        <v>89364</v>
      </c>
      <c r="W7" s="10">
        <v>122817</v>
      </c>
      <c r="X7" s="10">
        <v>202</v>
      </c>
      <c r="Y7" s="10">
        <v>229</v>
      </c>
      <c r="Z7" s="10">
        <v>25055</v>
      </c>
      <c r="AA7" s="10">
        <v>42725</v>
      </c>
      <c r="AB7" s="10">
        <v>919</v>
      </c>
      <c r="AC7" s="10">
        <v>1268</v>
      </c>
      <c r="AD7" s="10">
        <v>-3</v>
      </c>
      <c r="AE7" s="10">
        <v>3</v>
      </c>
      <c r="AF7" s="10">
        <v>8889</v>
      </c>
      <c r="AG7" s="10">
        <v>16214</v>
      </c>
      <c r="AH7" s="10">
        <v>23</v>
      </c>
      <c r="AI7" s="10">
        <v>68</v>
      </c>
      <c r="AJ7" s="92">
        <v>23605</v>
      </c>
      <c r="AK7" s="10">
        <v>-2855</v>
      </c>
      <c r="AL7" s="10">
        <v>15211</v>
      </c>
      <c r="AM7" s="10">
        <v>28804</v>
      </c>
      <c r="AN7" s="108">
        <v>5535</v>
      </c>
      <c r="AO7" s="108">
        <v>6558</v>
      </c>
      <c r="AP7" s="10">
        <v>7551</v>
      </c>
      <c r="AQ7" s="10">
        <v>51</v>
      </c>
      <c r="AR7" s="10"/>
      <c r="AS7" s="10"/>
      <c r="AT7" s="10">
        <v>22324</v>
      </c>
      <c r="AU7" s="10">
        <v>26707</v>
      </c>
      <c r="AV7" s="10">
        <v>22402</v>
      </c>
      <c r="AW7" s="10">
        <v>35213</v>
      </c>
      <c r="AX7" s="10">
        <v>1294</v>
      </c>
      <c r="AY7" s="10">
        <v>2350</v>
      </c>
      <c r="AZ7" s="10">
        <v>-2077</v>
      </c>
      <c r="BA7" s="10">
        <v>1488</v>
      </c>
      <c r="BB7" s="10">
        <v>2539</v>
      </c>
      <c r="BC7" s="10">
        <v>5202</v>
      </c>
      <c r="BD7" s="10">
        <v>5909</v>
      </c>
      <c r="BE7" s="10">
        <v>7366</v>
      </c>
      <c r="BF7" s="10">
        <v>10422</v>
      </c>
      <c r="BG7" s="10">
        <v>13657</v>
      </c>
      <c r="BH7" s="10">
        <v>2093</v>
      </c>
      <c r="BI7" s="10">
        <v>3268</v>
      </c>
      <c r="BJ7" s="10">
        <v>9980</v>
      </c>
      <c r="BK7" s="10">
        <v>13251</v>
      </c>
      <c r="BL7" s="108">
        <v>-5690</v>
      </c>
      <c r="BM7" s="108">
        <v>-5150</v>
      </c>
      <c r="BN7" s="10">
        <v>166</v>
      </c>
      <c r="BO7" s="10">
        <v>366</v>
      </c>
      <c r="BP7" s="88">
        <f t="shared" si="0"/>
        <v>294311.42</v>
      </c>
      <c r="BQ7" s="88">
        <f t="shared" si="1"/>
        <v>437168.42</v>
      </c>
    </row>
    <row r="8" spans="1:69" x14ac:dyDescent="0.25">
      <c r="A8" s="26" t="s">
        <v>206</v>
      </c>
      <c r="B8" s="10">
        <v>13308</v>
      </c>
      <c r="C8" s="10">
        <v>26870</v>
      </c>
      <c r="D8" s="10">
        <v>29447</v>
      </c>
      <c r="E8" s="10">
        <v>54000</v>
      </c>
      <c r="F8" s="10">
        <v>19373</v>
      </c>
      <c r="G8" s="10">
        <v>37875</v>
      </c>
      <c r="H8" s="10">
        <v>90810</v>
      </c>
      <c r="I8" s="10">
        <v>190332</v>
      </c>
      <c r="J8" s="10">
        <v>61508</v>
      </c>
      <c r="K8" s="10">
        <v>119043</v>
      </c>
      <c r="L8" s="10">
        <v>33210</v>
      </c>
      <c r="M8" s="10">
        <v>65151</v>
      </c>
      <c r="N8" s="10">
        <v>64246.55</v>
      </c>
      <c r="O8" s="10">
        <v>123245.45</v>
      </c>
      <c r="P8" s="10">
        <v>25765</v>
      </c>
      <c r="Q8" s="10">
        <v>39276</v>
      </c>
      <c r="R8" s="10">
        <v>56313</v>
      </c>
      <c r="S8" s="10">
        <v>117254</v>
      </c>
      <c r="T8" s="10">
        <v>16481</v>
      </c>
      <c r="U8" s="10">
        <v>35223</v>
      </c>
      <c r="V8" s="10">
        <v>76922</v>
      </c>
      <c r="W8" s="10">
        <v>178621</v>
      </c>
      <c r="X8" s="10">
        <v>38198</v>
      </c>
      <c r="Y8" s="10">
        <v>87043</v>
      </c>
      <c r="Z8" s="10">
        <v>222055</v>
      </c>
      <c r="AA8" s="10">
        <v>438992</v>
      </c>
      <c r="AB8" s="10">
        <v>115381</v>
      </c>
      <c r="AC8" s="10">
        <v>225360</v>
      </c>
      <c r="AD8" s="10">
        <v>23269</v>
      </c>
      <c r="AE8" s="10">
        <v>42587</v>
      </c>
      <c r="AF8" s="10">
        <v>44868</v>
      </c>
      <c r="AG8" s="10">
        <v>94882</v>
      </c>
      <c r="AH8" s="10">
        <v>739</v>
      </c>
      <c r="AI8" s="10">
        <v>3902</v>
      </c>
      <c r="AJ8" s="92">
        <v>18944</v>
      </c>
      <c r="AK8" s="10">
        <v>41288</v>
      </c>
      <c r="AL8" s="10">
        <v>21541</v>
      </c>
      <c r="AM8" s="10">
        <v>53802</v>
      </c>
      <c r="AN8" s="108">
        <v>254786</v>
      </c>
      <c r="AO8" s="108">
        <v>438485</v>
      </c>
      <c r="AP8" s="10">
        <v>19344</v>
      </c>
      <c r="AQ8" s="10">
        <v>33959</v>
      </c>
      <c r="AR8" s="10">
        <v>4383</v>
      </c>
      <c r="AS8" s="10">
        <v>8933</v>
      </c>
      <c r="AT8" s="10">
        <v>70972</v>
      </c>
      <c r="AU8" s="10">
        <v>135946</v>
      </c>
      <c r="AV8" s="10">
        <v>35147</v>
      </c>
      <c r="AW8" s="10">
        <v>72382</v>
      </c>
      <c r="AX8" s="10">
        <v>45551</v>
      </c>
      <c r="AY8" s="10">
        <v>89824</v>
      </c>
      <c r="AZ8" s="10">
        <v>71075</v>
      </c>
      <c r="BA8" s="10">
        <v>146517</v>
      </c>
      <c r="BB8" s="10">
        <v>24806</v>
      </c>
      <c r="BC8" s="10">
        <v>46403</v>
      </c>
      <c r="BD8" s="10">
        <v>145197</v>
      </c>
      <c r="BE8" s="10">
        <v>298936</v>
      </c>
      <c r="BF8" s="10">
        <v>870291</v>
      </c>
      <c r="BG8" s="10">
        <v>1420196</v>
      </c>
      <c r="BH8" s="10">
        <v>391191</v>
      </c>
      <c r="BI8" s="10">
        <v>688462</v>
      </c>
      <c r="BJ8" s="10">
        <v>201204</v>
      </c>
      <c r="BK8" s="10">
        <v>381144</v>
      </c>
      <c r="BL8" s="108">
        <v>389324</v>
      </c>
      <c r="BM8" s="108">
        <v>396171</v>
      </c>
      <c r="BN8" s="10">
        <v>105506</v>
      </c>
      <c r="BO8" s="10">
        <v>126250</v>
      </c>
      <c r="BP8" s="88">
        <f t="shared" si="0"/>
        <v>3601155.55</v>
      </c>
      <c r="BQ8" s="88">
        <f t="shared" si="1"/>
        <v>6258354.4500000002</v>
      </c>
    </row>
    <row r="9" spans="1:69" x14ac:dyDescent="0.25">
      <c r="A9" s="26" t="s">
        <v>207</v>
      </c>
      <c r="B9" s="10">
        <v>5253</v>
      </c>
      <c r="C9" s="10">
        <v>9804</v>
      </c>
      <c r="D9" s="10">
        <v>8363</v>
      </c>
      <c r="E9" s="10">
        <v>17090</v>
      </c>
      <c r="F9" s="10">
        <v>5403</v>
      </c>
      <c r="G9" s="10">
        <v>9498</v>
      </c>
      <c r="H9" s="10">
        <v>31694</v>
      </c>
      <c r="I9" s="10">
        <v>57324</v>
      </c>
      <c r="J9" s="10">
        <v>11138</v>
      </c>
      <c r="K9" s="10">
        <v>21549</v>
      </c>
      <c r="L9" s="10">
        <v>19047</v>
      </c>
      <c r="M9" s="10">
        <v>24191</v>
      </c>
      <c r="N9" s="10">
        <v>82204.78</v>
      </c>
      <c r="O9" s="10">
        <v>102815.5</v>
      </c>
      <c r="P9" s="10">
        <v>-698</v>
      </c>
      <c r="Q9" s="10">
        <v>1028</v>
      </c>
      <c r="R9" s="10">
        <v>67239</v>
      </c>
      <c r="S9" s="10">
        <v>127735</v>
      </c>
      <c r="T9" s="10"/>
      <c r="U9" s="10"/>
      <c r="V9" s="10">
        <v>33714</v>
      </c>
      <c r="W9" s="10">
        <v>70325</v>
      </c>
      <c r="X9" s="10">
        <v>22762</v>
      </c>
      <c r="Y9" s="10">
        <v>41128</v>
      </c>
      <c r="Z9" s="10">
        <v>124086</v>
      </c>
      <c r="AA9" s="10">
        <v>248303</v>
      </c>
      <c r="AB9" s="10">
        <v>39136</v>
      </c>
      <c r="AC9" s="10">
        <v>71720</v>
      </c>
      <c r="AD9" s="10">
        <v>4339</v>
      </c>
      <c r="AE9" s="10">
        <v>8654</v>
      </c>
      <c r="AF9" s="10">
        <v>37117</v>
      </c>
      <c r="AG9" s="10">
        <v>81212</v>
      </c>
      <c r="AH9" s="10">
        <v>115</v>
      </c>
      <c r="AI9" s="10">
        <v>580</v>
      </c>
      <c r="AJ9" s="92">
        <v>-2524</v>
      </c>
      <c r="AK9" s="10">
        <v>-1905</v>
      </c>
      <c r="AL9" s="10">
        <v>32944</v>
      </c>
      <c r="AM9" s="10">
        <v>70921</v>
      </c>
      <c r="AN9" s="108">
        <v>12211</v>
      </c>
      <c r="AO9" s="108">
        <v>44750</v>
      </c>
      <c r="AP9" s="10">
        <v>2333</v>
      </c>
      <c r="AQ9" s="10">
        <v>4769</v>
      </c>
      <c r="AR9" s="10">
        <v>8399</v>
      </c>
      <c r="AS9" s="10">
        <v>17738</v>
      </c>
      <c r="AT9" s="10">
        <v>141644</v>
      </c>
      <c r="AU9" s="10">
        <v>306514</v>
      </c>
      <c r="AV9" s="10">
        <v>9623</v>
      </c>
      <c r="AW9" s="10">
        <v>14666</v>
      </c>
      <c r="AX9" s="10">
        <v>13665</v>
      </c>
      <c r="AY9" s="10">
        <v>26144</v>
      </c>
      <c r="AZ9" s="10">
        <v>59998</v>
      </c>
      <c r="BA9" s="10">
        <v>126647</v>
      </c>
      <c r="BB9" s="10">
        <v>6871</v>
      </c>
      <c r="BC9" s="10">
        <v>9547</v>
      </c>
      <c r="BD9" s="10">
        <v>48460</v>
      </c>
      <c r="BE9" s="10">
        <v>92326</v>
      </c>
      <c r="BF9" s="10">
        <v>2174</v>
      </c>
      <c r="BG9" s="10">
        <v>3139</v>
      </c>
      <c r="BH9" s="10">
        <v>155394</v>
      </c>
      <c r="BI9" s="10">
        <v>300039</v>
      </c>
      <c r="BJ9" s="10">
        <v>64931</v>
      </c>
      <c r="BK9" s="10">
        <v>109882</v>
      </c>
      <c r="BL9" s="108">
        <v>30038</v>
      </c>
      <c r="BM9" s="108">
        <v>58094</v>
      </c>
      <c r="BN9" s="10">
        <v>48719</v>
      </c>
      <c r="BO9" s="10">
        <v>72969</v>
      </c>
      <c r="BP9" s="88">
        <f t="shared" si="0"/>
        <v>1125792.78</v>
      </c>
      <c r="BQ9" s="88">
        <f t="shared" si="1"/>
        <v>2149196.5</v>
      </c>
    </row>
    <row r="10" spans="1:69" x14ac:dyDescent="0.25">
      <c r="A10" s="26" t="s">
        <v>208</v>
      </c>
      <c r="B10" s="10">
        <v>61</v>
      </c>
      <c r="C10" s="10">
        <v>283</v>
      </c>
      <c r="D10" s="10">
        <v>18109</v>
      </c>
      <c r="E10" s="10">
        <v>25691</v>
      </c>
      <c r="F10" s="10">
        <v>4080</v>
      </c>
      <c r="G10" s="10">
        <v>5454</v>
      </c>
      <c r="H10" s="10">
        <v>19668</v>
      </c>
      <c r="I10" s="10">
        <v>35985</v>
      </c>
      <c r="J10" s="10">
        <v>9593</v>
      </c>
      <c r="K10" s="10">
        <v>11920</v>
      </c>
      <c r="L10" s="10">
        <v>6879</v>
      </c>
      <c r="M10" s="10">
        <v>13021</v>
      </c>
      <c r="N10" s="10">
        <v>4862.8599999999997</v>
      </c>
      <c r="O10" s="10">
        <v>6034.05</v>
      </c>
      <c r="P10" s="10">
        <v>2339</v>
      </c>
      <c r="Q10" s="10">
        <v>8017</v>
      </c>
      <c r="R10" s="10">
        <v>40984</v>
      </c>
      <c r="S10" s="10">
        <v>73426</v>
      </c>
      <c r="T10" s="10">
        <v>2077</v>
      </c>
      <c r="U10" s="10">
        <v>2363</v>
      </c>
      <c r="V10" s="10">
        <v>25514</v>
      </c>
      <c r="W10" s="10">
        <v>36984</v>
      </c>
      <c r="X10" s="10">
        <v>5361</v>
      </c>
      <c r="Y10" s="10">
        <v>9024</v>
      </c>
      <c r="Z10" s="10">
        <v>22944</v>
      </c>
      <c r="AA10" s="10">
        <v>31845</v>
      </c>
      <c r="AB10" s="10">
        <v>15781</v>
      </c>
      <c r="AC10" s="10">
        <v>19413</v>
      </c>
      <c r="AD10" s="10">
        <v>2328</v>
      </c>
      <c r="AE10" s="10">
        <v>3745</v>
      </c>
      <c r="AF10" s="10">
        <v>2255</v>
      </c>
      <c r="AG10" s="10">
        <v>5345</v>
      </c>
      <c r="AH10" s="10">
        <v>265</v>
      </c>
      <c r="AI10" s="10">
        <v>552</v>
      </c>
      <c r="AJ10" s="92">
        <v>4083</v>
      </c>
      <c r="AK10" s="10">
        <v>7986</v>
      </c>
      <c r="AL10" s="10">
        <v>-1054</v>
      </c>
      <c r="AM10" s="10">
        <v>3087</v>
      </c>
      <c r="AN10" s="108">
        <v>85391</v>
      </c>
      <c r="AO10" s="108">
        <v>112506</v>
      </c>
      <c r="AP10" s="10">
        <v>357</v>
      </c>
      <c r="AQ10" s="10">
        <v>372</v>
      </c>
      <c r="AR10" s="10">
        <v>140</v>
      </c>
      <c r="AS10" s="10">
        <v>321</v>
      </c>
      <c r="AT10" s="10">
        <v>6518</v>
      </c>
      <c r="AU10" s="10">
        <v>8070</v>
      </c>
      <c r="AV10" s="10">
        <v>3691</v>
      </c>
      <c r="AW10" s="10">
        <v>9683</v>
      </c>
      <c r="AX10" s="10">
        <v>5788</v>
      </c>
      <c r="AY10" s="10">
        <v>7736</v>
      </c>
      <c r="AZ10" s="10">
        <v>29612</v>
      </c>
      <c r="BA10" s="10">
        <v>60670</v>
      </c>
      <c r="BB10" s="10">
        <v>22423</v>
      </c>
      <c r="BC10" s="10">
        <v>28595</v>
      </c>
      <c r="BD10" s="10">
        <v>25513</v>
      </c>
      <c r="BE10" s="10">
        <v>41521</v>
      </c>
      <c r="BF10" s="10">
        <v>18203</v>
      </c>
      <c r="BG10" s="10">
        <v>23650</v>
      </c>
      <c r="BH10" s="10">
        <v>80913</v>
      </c>
      <c r="BI10" s="10">
        <v>133577</v>
      </c>
      <c r="BJ10" s="10">
        <v>46887</v>
      </c>
      <c r="BK10" s="10">
        <v>67454</v>
      </c>
      <c r="BL10" s="108">
        <v>36902</v>
      </c>
      <c r="BM10" s="108">
        <v>54871</v>
      </c>
      <c r="BN10" s="10">
        <v>6398</v>
      </c>
      <c r="BO10" s="10">
        <v>8216</v>
      </c>
      <c r="BP10" s="88">
        <f t="shared" si="0"/>
        <v>554865.86</v>
      </c>
      <c r="BQ10" s="88">
        <f t="shared" si="1"/>
        <v>857417.05</v>
      </c>
    </row>
    <row r="11" spans="1:69" x14ac:dyDescent="0.25">
      <c r="A11" s="26" t="s">
        <v>209</v>
      </c>
      <c r="B11" s="10">
        <v>1754</v>
      </c>
      <c r="C11" s="10">
        <v>3301</v>
      </c>
      <c r="D11" s="10">
        <v>12380</v>
      </c>
      <c r="E11" s="10">
        <v>22241</v>
      </c>
      <c r="F11" s="10">
        <v>1950</v>
      </c>
      <c r="G11" s="10">
        <v>2782</v>
      </c>
      <c r="H11" s="10">
        <v>43180</v>
      </c>
      <c r="I11" s="10">
        <v>68115</v>
      </c>
      <c r="J11" s="10">
        <v>59382</v>
      </c>
      <c r="K11" s="10">
        <v>101338</v>
      </c>
      <c r="L11" s="10">
        <v>15894</v>
      </c>
      <c r="M11" s="10">
        <v>27241</v>
      </c>
      <c r="N11" s="10">
        <v>3247.03</v>
      </c>
      <c r="O11" s="10">
        <v>4876.3500000000004</v>
      </c>
      <c r="P11" s="10">
        <v>-602</v>
      </c>
      <c r="Q11" s="10">
        <v>614</v>
      </c>
      <c r="R11" s="10">
        <v>26689</v>
      </c>
      <c r="S11" s="10">
        <v>49565</v>
      </c>
      <c r="T11" s="10">
        <v>5796</v>
      </c>
      <c r="U11" s="10">
        <v>10579</v>
      </c>
      <c r="V11" s="10">
        <v>10472</v>
      </c>
      <c r="W11" s="10">
        <v>19528</v>
      </c>
      <c r="X11" s="10">
        <v>3793</v>
      </c>
      <c r="Y11" s="10">
        <v>11590</v>
      </c>
      <c r="Z11" s="10">
        <v>118748</v>
      </c>
      <c r="AA11" s="10">
        <v>200958</v>
      </c>
      <c r="AB11" s="10">
        <v>16062</v>
      </c>
      <c r="AC11" s="10">
        <v>28144</v>
      </c>
      <c r="AD11" s="10">
        <v>4134</v>
      </c>
      <c r="AE11" s="10">
        <v>5173</v>
      </c>
      <c r="AF11" s="10">
        <v>47185</v>
      </c>
      <c r="AG11" s="10">
        <v>90426</v>
      </c>
      <c r="AH11" s="10">
        <v>309</v>
      </c>
      <c r="AI11" s="10">
        <v>736</v>
      </c>
      <c r="AJ11" s="92">
        <v>10859</v>
      </c>
      <c r="AK11" s="10">
        <v>27213</v>
      </c>
      <c r="AL11" s="10">
        <v>29395</v>
      </c>
      <c r="AM11" s="10">
        <v>61649</v>
      </c>
      <c r="AN11" s="108">
        <v>90093</v>
      </c>
      <c r="AO11" s="108">
        <v>138547</v>
      </c>
      <c r="AP11" s="10">
        <v>1958</v>
      </c>
      <c r="AQ11" s="10">
        <v>3740</v>
      </c>
      <c r="AR11" s="10">
        <v>3211</v>
      </c>
      <c r="AS11" s="10">
        <v>6062</v>
      </c>
      <c r="AT11" s="10">
        <v>35262</v>
      </c>
      <c r="AU11" s="10">
        <v>73284</v>
      </c>
      <c r="AV11" s="10">
        <v>22680</v>
      </c>
      <c r="AW11" s="10">
        <v>40887</v>
      </c>
      <c r="AX11" s="10">
        <v>15672</v>
      </c>
      <c r="AY11" s="10">
        <v>26993</v>
      </c>
      <c r="AZ11" s="10">
        <v>30642</v>
      </c>
      <c r="BA11" s="10">
        <v>81626</v>
      </c>
      <c r="BB11" s="10">
        <v>12112</v>
      </c>
      <c r="BC11" s="10">
        <v>21070</v>
      </c>
      <c r="BD11" s="10">
        <v>47625</v>
      </c>
      <c r="BE11" s="10">
        <v>72435</v>
      </c>
      <c r="BF11" s="10">
        <v>60282</v>
      </c>
      <c r="BG11" s="10">
        <v>100365</v>
      </c>
      <c r="BH11" s="10">
        <v>53913</v>
      </c>
      <c r="BI11" s="10">
        <v>90436</v>
      </c>
      <c r="BJ11" s="10">
        <v>35375</v>
      </c>
      <c r="BK11" s="10">
        <v>52947</v>
      </c>
      <c r="BL11" s="108">
        <v>80284</v>
      </c>
      <c r="BM11" s="108">
        <v>151465</v>
      </c>
      <c r="BN11" s="10">
        <v>8993</v>
      </c>
      <c r="BO11" s="10">
        <v>16574</v>
      </c>
      <c r="BP11" s="88">
        <f t="shared" si="0"/>
        <v>908729.03</v>
      </c>
      <c r="BQ11" s="88">
        <f t="shared" si="1"/>
        <v>1612500.35</v>
      </c>
    </row>
    <row r="12" spans="1:69" x14ac:dyDescent="0.25">
      <c r="A12" s="26" t="s">
        <v>210</v>
      </c>
      <c r="B12" s="10">
        <v>24342</v>
      </c>
      <c r="C12" s="10">
        <v>39380</v>
      </c>
      <c r="D12" s="10">
        <v>20144</v>
      </c>
      <c r="E12" s="10">
        <v>57947</v>
      </c>
      <c r="F12" s="10">
        <v>4926</v>
      </c>
      <c r="G12" s="10">
        <v>6836</v>
      </c>
      <c r="H12" s="10">
        <v>32712</v>
      </c>
      <c r="I12" s="10">
        <v>59321</v>
      </c>
      <c r="J12" s="10">
        <v>112967</v>
      </c>
      <c r="K12" s="10">
        <v>164471</v>
      </c>
      <c r="L12" s="10">
        <v>14483</v>
      </c>
      <c r="M12" s="10">
        <v>27507</v>
      </c>
      <c r="N12" s="10">
        <v>16043.24</v>
      </c>
      <c r="O12" s="10">
        <v>17623.009999999998</v>
      </c>
      <c r="P12" s="10">
        <v>40376</v>
      </c>
      <c r="Q12" s="10">
        <v>54234</v>
      </c>
      <c r="R12" s="10">
        <v>171867</v>
      </c>
      <c r="S12" s="10">
        <v>295999</v>
      </c>
      <c r="T12" s="10">
        <v>346318</v>
      </c>
      <c r="U12" s="10">
        <v>552293</v>
      </c>
      <c r="V12" s="10">
        <v>1236722</v>
      </c>
      <c r="W12" s="10">
        <v>1872494</v>
      </c>
      <c r="X12" s="10">
        <v>101427</v>
      </c>
      <c r="Y12" s="10">
        <v>196643</v>
      </c>
      <c r="Z12" s="10">
        <v>456619</v>
      </c>
      <c r="AA12" s="10">
        <v>850183</v>
      </c>
      <c r="AB12" s="10">
        <v>196675</v>
      </c>
      <c r="AC12" s="10">
        <v>337354</v>
      </c>
      <c r="AD12" s="10">
        <v>17458</v>
      </c>
      <c r="AE12" s="10">
        <v>32319</v>
      </c>
      <c r="AF12" s="10">
        <v>90231</v>
      </c>
      <c r="AG12" s="10">
        <v>172483</v>
      </c>
      <c r="AH12" s="10">
        <v>175</v>
      </c>
      <c r="AI12" s="10">
        <v>2618</v>
      </c>
      <c r="AJ12" s="92">
        <v>120363</v>
      </c>
      <c r="AK12" s="10">
        <v>241207</v>
      </c>
      <c r="AL12" s="10">
        <v>126546</v>
      </c>
      <c r="AM12" s="10">
        <v>202910</v>
      </c>
      <c r="AN12" s="108">
        <v>52022</v>
      </c>
      <c r="AO12" s="108">
        <v>54464</v>
      </c>
      <c r="AP12" s="10">
        <v>30347</v>
      </c>
      <c r="AQ12" s="10">
        <v>86350</v>
      </c>
      <c r="AR12" s="10">
        <v>7027</v>
      </c>
      <c r="AS12" s="10">
        <v>34250</v>
      </c>
      <c r="AT12" s="10">
        <v>24965</v>
      </c>
      <c r="AU12" s="10">
        <v>52548</v>
      </c>
      <c r="AV12" s="10">
        <v>169071</v>
      </c>
      <c r="AW12" s="10">
        <v>314439</v>
      </c>
      <c r="AX12" s="10">
        <v>1458</v>
      </c>
      <c r="AY12" s="10">
        <v>5945</v>
      </c>
      <c r="AZ12" s="10">
        <v>214721</v>
      </c>
      <c r="BA12" s="10">
        <v>384546</v>
      </c>
      <c r="BB12" s="10">
        <v>62297</v>
      </c>
      <c r="BC12" s="10">
        <v>116152</v>
      </c>
      <c r="BD12" s="10">
        <v>151306</v>
      </c>
      <c r="BE12" s="10">
        <v>276909</v>
      </c>
      <c r="BF12" s="10">
        <v>1025251</v>
      </c>
      <c r="BG12" s="10">
        <v>1745446</v>
      </c>
      <c r="BH12" s="10">
        <v>160916</v>
      </c>
      <c r="BI12" s="10">
        <v>234847</v>
      </c>
      <c r="BJ12" s="10">
        <v>16834</v>
      </c>
      <c r="BK12" s="10">
        <v>29253</v>
      </c>
      <c r="BL12" s="108">
        <v>26519</v>
      </c>
      <c r="BM12" s="108">
        <v>43732</v>
      </c>
      <c r="BN12" s="10">
        <v>30068</v>
      </c>
      <c r="BO12" s="10">
        <v>60319</v>
      </c>
      <c r="BP12" s="88">
        <f t="shared" si="0"/>
        <v>5103196.24</v>
      </c>
      <c r="BQ12" s="88">
        <f t="shared" si="1"/>
        <v>8623022.0099999998</v>
      </c>
    </row>
    <row r="13" spans="1:69" x14ac:dyDescent="0.25">
      <c r="A13" s="26" t="s">
        <v>211</v>
      </c>
      <c r="B13" s="10">
        <v>232151</v>
      </c>
      <c r="C13" s="10">
        <v>329913</v>
      </c>
      <c r="D13" s="10">
        <v>474009</v>
      </c>
      <c r="E13" s="10">
        <v>849824</v>
      </c>
      <c r="F13" s="10">
        <v>296781</v>
      </c>
      <c r="G13" s="10">
        <v>314080</v>
      </c>
      <c r="H13" s="10">
        <v>214372</v>
      </c>
      <c r="I13" s="10">
        <v>330188</v>
      </c>
      <c r="J13" s="10">
        <v>840115</v>
      </c>
      <c r="K13" s="10">
        <v>1295929</v>
      </c>
      <c r="L13" s="10">
        <v>494882</v>
      </c>
      <c r="M13" s="10">
        <v>846446</v>
      </c>
      <c r="N13" s="10">
        <v>1035.08</v>
      </c>
      <c r="O13" s="10">
        <v>4146.99</v>
      </c>
      <c r="P13" s="10">
        <v>62699</v>
      </c>
      <c r="Q13" s="10">
        <v>115255</v>
      </c>
      <c r="R13" s="10">
        <v>209504</v>
      </c>
      <c r="S13" s="10">
        <v>391105</v>
      </c>
      <c r="T13" s="10">
        <v>612432</v>
      </c>
      <c r="U13" s="10">
        <v>1159016</v>
      </c>
      <c r="V13" s="10">
        <v>955957</v>
      </c>
      <c r="W13" s="10">
        <v>1794491</v>
      </c>
      <c r="X13" s="10">
        <v>57488</v>
      </c>
      <c r="Y13" s="10">
        <v>263217</v>
      </c>
      <c r="Z13" s="10">
        <v>244333</v>
      </c>
      <c r="AA13" s="10">
        <v>423798</v>
      </c>
      <c r="AB13" s="10">
        <v>250325</v>
      </c>
      <c r="AC13" s="10">
        <v>385380</v>
      </c>
      <c r="AD13" s="10">
        <v>98700</v>
      </c>
      <c r="AE13" s="10">
        <v>156216</v>
      </c>
      <c r="AF13" s="10">
        <v>179507</v>
      </c>
      <c r="AG13" s="10">
        <v>455403</v>
      </c>
      <c r="AH13" s="10">
        <v>63338</v>
      </c>
      <c r="AI13" s="10">
        <v>124397</v>
      </c>
      <c r="AJ13" s="92">
        <v>144175</v>
      </c>
      <c r="AK13" s="10">
        <v>225915</v>
      </c>
      <c r="AL13" s="10">
        <v>381791</v>
      </c>
      <c r="AM13" s="10">
        <v>614589</v>
      </c>
      <c r="AN13" s="108">
        <v>33705</v>
      </c>
      <c r="AO13" s="108">
        <v>34542</v>
      </c>
      <c r="AP13" s="10">
        <v>26235</v>
      </c>
      <c r="AQ13" s="10">
        <v>35328</v>
      </c>
      <c r="AR13" s="10">
        <v>91237</v>
      </c>
      <c r="AS13" s="10">
        <v>143333</v>
      </c>
      <c r="AT13" s="10">
        <v>2061032</v>
      </c>
      <c r="AU13" s="10">
        <v>3806964</v>
      </c>
      <c r="AV13" s="10">
        <v>437326</v>
      </c>
      <c r="AW13" s="10">
        <v>607410</v>
      </c>
      <c r="AX13" s="10">
        <v>174628</v>
      </c>
      <c r="AY13" s="10">
        <v>216853</v>
      </c>
      <c r="AZ13" s="10">
        <v>230449</v>
      </c>
      <c r="BA13" s="10">
        <v>265347</v>
      </c>
      <c r="BB13" s="10">
        <v>262</v>
      </c>
      <c r="BC13" s="10">
        <v>518</v>
      </c>
      <c r="BD13" s="10">
        <v>267668</v>
      </c>
      <c r="BE13" s="10">
        <v>437700</v>
      </c>
      <c r="BF13" s="10">
        <v>526916</v>
      </c>
      <c r="BG13" s="10">
        <v>896880</v>
      </c>
      <c r="BH13" s="10">
        <v>194422</v>
      </c>
      <c r="BI13" s="10">
        <v>210602</v>
      </c>
      <c r="BJ13" s="10">
        <v>51408</v>
      </c>
      <c r="BK13" s="10">
        <v>51500</v>
      </c>
      <c r="BL13" s="108">
        <v>4269</v>
      </c>
      <c r="BM13" s="108">
        <v>14954</v>
      </c>
      <c r="BN13" s="10">
        <v>10717</v>
      </c>
      <c r="BO13" s="10">
        <v>23871</v>
      </c>
      <c r="BP13" s="88">
        <f t="shared" si="0"/>
        <v>9923868.0800000001</v>
      </c>
      <c r="BQ13" s="88">
        <f t="shared" si="1"/>
        <v>16825110.990000002</v>
      </c>
    </row>
    <row r="14" spans="1:69" x14ac:dyDescent="0.25">
      <c r="A14" s="26" t="s">
        <v>212</v>
      </c>
      <c r="B14" s="10">
        <v>6037</v>
      </c>
      <c r="C14" s="10">
        <v>9359</v>
      </c>
      <c r="D14" s="10">
        <v>7114</v>
      </c>
      <c r="E14" s="10">
        <v>11303</v>
      </c>
      <c r="F14" s="10">
        <v>1402</v>
      </c>
      <c r="G14" s="10">
        <v>5059</v>
      </c>
      <c r="H14" s="10">
        <v>73250</v>
      </c>
      <c r="I14" s="10">
        <v>113251</v>
      </c>
      <c r="J14" s="10">
        <v>20163</v>
      </c>
      <c r="K14" s="10">
        <v>34591</v>
      </c>
      <c r="L14" s="10">
        <v>27183</v>
      </c>
      <c r="M14" s="10">
        <v>50473</v>
      </c>
      <c r="N14" s="10">
        <v>123.55</v>
      </c>
      <c r="O14" s="10">
        <v>163.09</v>
      </c>
      <c r="P14" s="10">
        <v>-1337</v>
      </c>
      <c r="Q14" s="10">
        <v>4</v>
      </c>
      <c r="R14" s="10">
        <v>9621</v>
      </c>
      <c r="S14" s="10">
        <v>21552</v>
      </c>
      <c r="T14" s="10">
        <v>18671</v>
      </c>
      <c r="U14" s="10">
        <v>25938</v>
      </c>
      <c r="V14" s="10">
        <v>150858</v>
      </c>
      <c r="W14" s="10">
        <v>179311</v>
      </c>
      <c r="X14" s="10">
        <v>22347</v>
      </c>
      <c r="Y14" s="10">
        <v>39923</v>
      </c>
      <c r="Z14" s="10">
        <v>107946</v>
      </c>
      <c r="AA14" s="10">
        <v>191552</v>
      </c>
      <c r="AB14" s="10">
        <v>51239</v>
      </c>
      <c r="AC14" s="10">
        <v>91115</v>
      </c>
      <c r="AD14" s="10">
        <v>5252</v>
      </c>
      <c r="AE14" s="10">
        <v>9948</v>
      </c>
      <c r="AF14" s="10">
        <v>4470</v>
      </c>
      <c r="AG14" s="10">
        <v>10101</v>
      </c>
      <c r="AH14" s="10">
        <v>1378</v>
      </c>
      <c r="AI14" s="10">
        <v>3787</v>
      </c>
      <c r="AJ14" s="92">
        <v>9303</v>
      </c>
      <c r="AK14" s="10">
        <v>17219</v>
      </c>
      <c r="AL14" s="10">
        <v>10941</v>
      </c>
      <c r="AM14" s="10">
        <v>27063</v>
      </c>
      <c r="AN14" s="108">
        <v>-2211</v>
      </c>
      <c r="AO14" s="108">
        <v>852</v>
      </c>
      <c r="AP14" s="10">
        <v>2267</v>
      </c>
      <c r="AQ14" s="10">
        <v>3673</v>
      </c>
      <c r="AR14" s="10">
        <v>2449</v>
      </c>
      <c r="AS14" s="10">
        <v>2493</v>
      </c>
      <c r="AT14" s="10">
        <v>36480</v>
      </c>
      <c r="AU14" s="10">
        <v>68366</v>
      </c>
      <c r="AV14" s="10">
        <v>20223</v>
      </c>
      <c r="AW14" s="10">
        <v>34011</v>
      </c>
      <c r="AX14" s="10">
        <v>16555</v>
      </c>
      <c r="AY14" s="10">
        <v>28236</v>
      </c>
      <c r="AZ14" s="10">
        <v>10320</v>
      </c>
      <c r="BA14" s="10">
        <v>18825</v>
      </c>
      <c r="BB14" s="10">
        <v>25553</v>
      </c>
      <c r="BC14" s="10">
        <v>51600</v>
      </c>
      <c r="BD14" s="10">
        <v>5354</v>
      </c>
      <c r="BE14" s="10">
        <v>9081</v>
      </c>
      <c r="BF14" s="10">
        <v>54158</v>
      </c>
      <c r="BG14" s="10">
        <v>93406</v>
      </c>
      <c r="BH14" s="10">
        <v>-9363</v>
      </c>
      <c r="BI14" s="10">
        <v>48458</v>
      </c>
      <c r="BJ14" s="10">
        <v>39223</v>
      </c>
      <c r="BK14" s="10">
        <v>46230</v>
      </c>
      <c r="BL14" s="108">
        <v>58799</v>
      </c>
      <c r="BM14" s="108">
        <v>114678</v>
      </c>
      <c r="BN14" s="10">
        <v>7344</v>
      </c>
      <c r="BO14" s="10">
        <v>11625</v>
      </c>
      <c r="BP14" s="88">
        <f t="shared" si="0"/>
        <v>793112.55</v>
      </c>
      <c r="BQ14" s="88">
        <f t="shared" si="1"/>
        <v>1373246.0899999999</v>
      </c>
    </row>
    <row r="15" spans="1:69" x14ac:dyDescent="0.25">
      <c r="A15" s="27" t="s">
        <v>32</v>
      </c>
      <c r="B15" s="10">
        <f>B18-B17-B16-B14-B13-B12-B11-B10-B9-B8-B7-B6-B5</f>
        <v>67495</v>
      </c>
      <c r="C15" s="10">
        <f t="shared" ref="C15:BN15" si="2">C18-C17-C16-C14-C13-C12-C11-C10-C9-C8-C7-C6-C5</f>
        <v>130928</v>
      </c>
      <c r="D15" s="10">
        <f t="shared" si="2"/>
        <v>115817</v>
      </c>
      <c r="E15" s="10">
        <f t="shared" si="2"/>
        <v>250915</v>
      </c>
      <c r="F15" s="10">
        <f t="shared" si="2"/>
        <v>471059</v>
      </c>
      <c r="G15" s="10">
        <f t="shared" si="2"/>
        <v>617146</v>
      </c>
      <c r="H15" s="10">
        <f t="shared" si="2"/>
        <v>2542073</v>
      </c>
      <c r="I15" s="10">
        <f t="shared" si="2"/>
        <v>4341270</v>
      </c>
      <c r="J15" s="10">
        <f t="shared" si="2"/>
        <v>178945</v>
      </c>
      <c r="K15" s="10">
        <f t="shared" si="2"/>
        <v>358179</v>
      </c>
      <c r="L15" s="10">
        <f t="shared" si="2"/>
        <v>1633234</v>
      </c>
      <c r="M15" s="10">
        <f t="shared" si="2"/>
        <v>3079348</v>
      </c>
      <c r="N15" s="10">
        <f t="shared" si="2"/>
        <v>67119.229999999923</v>
      </c>
      <c r="O15" s="10">
        <f t="shared" si="2"/>
        <v>91472.060000000056</v>
      </c>
      <c r="P15" s="10">
        <f t="shared" si="2"/>
        <v>8304</v>
      </c>
      <c r="Q15" s="10">
        <f t="shared" si="2"/>
        <v>51558</v>
      </c>
      <c r="R15" s="10">
        <f t="shared" si="2"/>
        <v>924882</v>
      </c>
      <c r="S15" s="10">
        <f t="shared" si="2"/>
        <v>1674203</v>
      </c>
      <c r="T15" s="10">
        <f t="shared" si="2"/>
        <v>286692</v>
      </c>
      <c r="U15" s="10">
        <f t="shared" si="2"/>
        <v>516583</v>
      </c>
      <c r="V15" s="10">
        <f t="shared" si="2"/>
        <v>107162</v>
      </c>
      <c r="W15" s="10">
        <f t="shared" si="2"/>
        <v>283018</v>
      </c>
      <c r="X15" s="10">
        <f t="shared" si="2"/>
        <v>99518</v>
      </c>
      <c r="Y15" s="10">
        <f t="shared" si="2"/>
        <v>208025</v>
      </c>
      <c r="Z15" s="10">
        <f t="shared" si="2"/>
        <v>2997765</v>
      </c>
      <c r="AA15" s="10">
        <f t="shared" si="2"/>
        <v>5135376</v>
      </c>
      <c r="AB15" s="10">
        <f t="shared" si="2"/>
        <v>125819</v>
      </c>
      <c r="AC15" s="10">
        <f t="shared" si="2"/>
        <v>249101</v>
      </c>
      <c r="AD15" s="10">
        <f t="shared" si="2"/>
        <v>50089</v>
      </c>
      <c r="AE15" s="10">
        <f t="shared" si="2"/>
        <v>95141</v>
      </c>
      <c r="AF15" s="10">
        <f t="shared" si="2"/>
        <v>191821</v>
      </c>
      <c r="AG15" s="10">
        <f t="shared" si="2"/>
        <v>438073</v>
      </c>
      <c r="AH15" s="10">
        <f t="shared" si="2"/>
        <v>6108</v>
      </c>
      <c r="AI15" s="10">
        <f t="shared" si="2"/>
        <v>21801</v>
      </c>
      <c r="AJ15" s="10">
        <f t="shared" si="2"/>
        <v>89860</v>
      </c>
      <c r="AK15" s="10">
        <f t="shared" si="2"/>
        <v>177934</v>
      </c>
      <c r="AL15" s="10">
        <f t="shared" si="2"/>
        <v>4662</v>
      </c>
      <c r="AM15" s="10">
        <f t="shared" si="2"/>
        <v>9657</v>
      </c>
      <c r="AN15" s="10">
        <f t="shared" si="2"/>
        <v>850247</v>
      </c>
      <c r="AO15" s="10">
        <f t="shared" si="2"/>
        <v>1347070</v>
      </c>
      <c r="AP15" s="10">
        <f t="shared" si="2"/>
        <v>16203</v>
      </c>
      <c r="AQ15" s="10">
        <f t="shared" si="2"/>
        <v>32511</v>
      </c>
      <c r="AR15" s="10">
        <f t="shared" si="2"/>
        <v>5944</v>
      </c>
      <c r="AS15" s="10">
        <f t="shared" si="2"/>
        <v>8691</v>
      </c>
      <c r="AT15" s="10">
        <f t="shared" si="2"/>
        <v>33013816</v>
      </c>
      <c r="AU15" s="10">
        <f t="shared" si="2"/>
        <v>434106</v>
      </c>
      <c r="AV15" s="10">
        <f t="shared" si="2"/>
        <v>34197</v>
      </c>
      <c r="AW15" s="10">
        <f t="shared" si="2"/>
        <v>72246</v>
      </c>
      <c r="AX15" s="10">
        <f t="shared" si="2"/>
        <v>232373</v>
      </c>
      <c r="AY15" s="10">
        <f t="shared" si="2"/>
        <v>602084</v>
      </c>
      <c r="AZ15" s="10">
        <f t="shared" si="2"/>
        <v>689260</v>
      </c>
      <c r="BA15" s="10">
        <f t="shared" si="2"/>
        <v>1085409</v>
      </c>
      <c r="BB15" s="10">
        <f t="shared" si="2"/>
        <v>476902</v>
      </c>
      <c r="BC15" s="10">
        <f t="shared" si="2"/>
        <v>911470</v>
      </c>
      <c r="BD15" s="10">
        <f t="shared" si="2"/>
        <v>-454364</v>
      </c>
      <c r="BE15" s="10">
        <f t="shared" si="2"/>
        <v>-630816</v>
      </c>
      <c r="BF15" s="10">
        <f t="shared" si="2"/>
        <v>380169</v>
      </c>
      <c r="BG15" s="10">
        <f t="shared" si="2"/>
        <v>533419</v>
      </c>
      <c r="BH15" s="10">
        <f t="shared" si="2"/>
        <v>1521681</v>
      </c>
      <c r="BI15" s="10">
        <f t="shared" si="2"/>
        <v>3754879</v>
      </c>
      <c r="BJ15" s="10">
        <f t="shared" si="2"/>
        <v>231569</v>
      </c>
      <c r="BK15" s="10">
        <f t="shared" si="2"/>
        <v>437770</v>
      </c>
      <c r="BL15" s="10">
        <f t="shared" si="2"/>
        <v>1015287</v>
      </c>
      <c r="BM15" s="10">
        <f t="shared" si="2"/>
        <v>1450242</v>
      </c>
      <c r="BN15" s="10">
        <f t="shared" si="2"/>
        <v>196890</v>
      </c>
      <c r="BO15" s="10">
        <f t="shared" ref="BO15" si="3">BO18-BO17-BO16-BO14-BO13-BO12-BO11-BO10-BO9-BO8-BO7-BO6-BO5</f>
        <v>335078</v>
      </c>
      <c r="BP15" s="88">
        <f t="shared" si="0"/>
        <v>48178598.230000004</v>
      </c>
      <c r="BQ15" s="88">
        <f t="shared" si="1"/>
        <v>28103887.060000002</v>
      </c>
    </row>
    <row r="16" spans="1:69" x14ac:dyDescent="0.25">
      <c r="A16" s="26" t="s">
        <v>213</v>
      </c>
      <c r="B16" s="10">
        <v>9458</v>
      </c>
      <c r="C16" s="10">
        <v>18909</v>
      </c>
      <c r="D16" s="10">
        <v>62185</v>
      </c>
      <c r="E16" s="10">
        <v>120536</v>
      </c>
      <c r="F16" s="10">
        <v>165303</v>
      </c>
      <c r="G16" s="10">
        <v>317884</v>
      </c>
      <c r="H16" s="10">
        <v>126148</v>
      </c>
      <c r="I16" s="10">
        <v>247258</v>
      </c>
      <c r="J16" s="10">
        <v>26632</v>
      </c>
      <c r="K16" s="10">
        <v>50216</v>
      </c>
      <c r="L16" s="10">
        <v>53704</v>
      </c>
      <c r="M16" s="10">
        <v>104006</v>
      </c>
      <c r="N16" s="10">
        <v>11927.43</v>
      </c>
      <c r="O16" s="10">
        <v>22706.73</v>
      </c>
      <c r="P16" s="10">
        <v>10747</v>
      </c>
      <c r="Q16" s="10">
        <v>18506</v>
      </c>
      <c r="R16" s="10">
        <v>26619</v>
      </c>
      <c r="S16" s="10">
        <v>51554</v>
      </c>
      <c r="T16" s="10">
        <v>22347</v>
      </c>
      <c r="U16" s="10">
        <v>41155</v>
      </c>
      <c r="V16" s="10">
        <v>112702</v>
      </c>
      <c r="W16" s="10">
        <v>217769</v>
      </c>
      <c r="X16" s="10">
        <v>33304</v>
      </c>
      <c r="Y16" s="10">
        <v>67261</v>
      </c>
      <c r="Z16" s="10">
        <v>328246</v>
      </c>
      <c r="AA16" s="10">
        <v>641772</v>
      </c>
      <c r="AB16" s="10">
        <v>69936</v>
      </c>
      <c r="AC16" s="10">
        <v>127375</v>
      </c>
      <c r="AD16" s="10">
        <v>11321</v>
      </c>
      <c r="AE16" s="10">
        <v>21799</v>
      </c>
      <c r="AF16" s="10">
        <v>60346</v>
      </c>
      <c r="AG16" s="10">
        <v>118172</v>
      </c>
      <c r="AH16" s="10">
        <v>1205</v>
      </c>
      <c r="AI16" s="10">
        <v>5068</v>
      </c>
      <c r="AJ16" s="92">
        <v>41239</v>
      </c>
      <c r="AK16" s="10">
        <v>55072</v>
      </c>
      <c r="AL16" s="10">
        <v>63514</v>
      </c>
      <c r="AM16" s="10">
        <v>121545</v>
      </c>
      <c r="AN16" s="108">
        <v>162077</v>
      </c>
      <c r="AO16" s="108">
        <v>301500</v>
      </c>
      <c r="AP16" s="10">
        <v>33522</v>
      </c>
      <c r="AQ16" s="10">
        <v>66543</v>
      </c>
      <c r="AR16" s="10">
        <v>4279</v>
      </c>
      <c r="AS16" s="10">
        <v>8395</v>
      </c>
      <c r="AT16" s="10">
        <v>42089</v>
      </c>
      <c r="AU16" s="10">
        <v>83608</v>
      </c>
      <c r="AV16" s="10">
        <v>49589</v>
      </c>
      <c r="AW16" s="10">
        <v>97554</v>
      </c>
      <c r="AX16" s="10">
        <v>33830</v>
      </c>
      <c r="AY16" s="10">
        <v>67262</v>
      </c>
      <c r="AZ16" s="10">
        <v>156053</v>
      </c>
      <c r="BA16" s="10">
        <v>293934</v>
      </c>
      <c r="BB16" s="10">
        <v>11957</v>
      </c>
      <c r="BC16" s="10">
        <v>24369</v>
      </c>
      <c r="BD16" s="10">
        <v>71274</v>
      </c>
      <c r="BE16" s="10">
        <v>298008</v>
      </c>
      <c r="BF16" s="10">
        <v>186944</v>
      </c>
      <c r="BG16" s="10">
        <v>287355</v>
      </c>
      <c r="BH16" s="10">
        <v>245487</v>
      </c>
      <c r="BI16" s="10">
        <v>488057</v>
      </c>
      <c r="BJ16" s="10">
        <v>152611</v>
      </c>
      <c r="BK16" s="10">
        <v>303235</v>
      </c>
      <c r="BL16" s="108">
        <v>94727</v>
      </c>
      <c r="BM16" s="108">
        <v>208019</v>
      </c>
      <c r="BN16" s="10">
        <v>32730</v>
      </c>
      <c r="BO16" s="10">
        <v>65015</v>
      </c>
      <c r="BP16" s="88">
        <f t="shared" si="0"/>
        <v>2514052.4299999997</v>
      </c>
      <c r="BQ16" s="88">
        <f t="shared" si="1"/>
        <v>4961417.7300000004</v>
      </c>
    </row>
    <row r="17" spans="1:69" x14ac:dyDescent="0.25">
      <c r="A17" s="26" t="s">
        <v>214</v>
      </c>
      <c r="B17" s="10">
        <v>166</v>
      </c>
      <c r="C17" s="10">
        <v>166</v>
      </c>
      <c r="D17" s="10"/>
      <c r="E17" s="10"/>
      <c r="F17" s="10"/>
      <c r="G17" s="10"/>
      <c r="H17" s="10">
        <v>49895</v>
      </c>
      <c r="I17" s="10">
        <v>98986</v>
      </c>
      <c r="J17" s="10">
        <v>10764</v>
      </c>
      <c r="K17" s="10">
        <v>27610</v>
      </c>
      <c r="L17" s="10"/>
      <c r="M17" s="10"/>
      <c r="N17" s="10"/>
      <c r="O17" s="10"/>
      <c r="P17" s="10">
        <v>-125</v>
      </c>
      <c r="Q17" s="10">
        <v>10</v>
      </c>
      <c r="R17" s="10">
        <v>5860</v>
      </c>
      <c r="S17" s="10">
        <v>15868</v>
      </c>
      <c r="T17" s="10"/>
      <c r="U17" s="10"/>
      <c r="V17" s="10"/>
      <c r="W17" s="10"/>
      <c r="X17" s="10"/>
      <c r="Y17" s="10">
        <v>0</v>
      </c>
      <c r="Z17" s="10"/>
      <c r="AA17" s="10"/>
      <c r="AB17" s="10">
        <v>8023</v>
      </c>
      <c r="AC17" s="10">
        <v>22338</v>
      </c>
      <c r="AD17" s="10"/>
      <c r="AE17" s="10"/>
      <c r="AF17" s="10"/>
      <c r="AG17" s="10"/>
      <c r="AH17" s="10"/>
      <c r="AI17" s="10"/>
      <c r="AJ17" s="11"/>
      <c r="AK17" s="10"/>
      <c r="AL17" s="10">
        <v>18</v>
      </c>
      <c r="AM17" s="10">
        <v>9</v>
      </c>
      <c r="AN17" s="108">
        <v>7082</v>
      </c>
      <c r="AO17" s="108">
        <v>5746</v>
      </c>
      <c r="AP17" s="10">
        <v>654</v>
      </c>
      <c r="AQ17" s="10">
        <v>696</v>
      </c>
      <c r="AR17" s="10"/>
      <c r="AS17" s="10"/>
      <c r="AT17" s="10"/>
      <c r="AU17" s="10"/>
      <c r="AV17" s="10">
        <v>411</v>
      </c>
      <c r="AW17" s="10">
        <v>431</v>
      </c>
      <c r="AX17" s="10">
        <v>1283</v>
      </c>
      <c r="AY17" s="10">
        <v>3451</v>
      </c>
      <c r="AZ17" s="10"/>
      <c r="BA17" s="10"/>
      <c r="BB17" s="10"/>
      <c r="BC17" s="10"/>
      <c r="BD17" s="10"/>
      <c r="BE17" s="10"/>
      <c r="BF17" s="10">
        <v>6411</v>
      </c>
      <c r="BG17" s="10">
        <v>20945</v>
      </c>
      <c r="BH17" s="10">
        <v>154463</v>
      </c>
      <c r="BI17" s="10">
        <v>118465</v>
      </c>
      <c r="BJ17" s="10"/>
      <c r="BK17" s="10"/>
      <c r="BL17" s="10"/>
      <c r="BM17" s="10"/>
      <c r="BN17" s="10"/>
      <c r="BO17" s="10"/>
      <c r="BP17" s="88">
        <f t="shared" si="0"/>
        <v>244905</v>
      </c>
      <c r="BQ17" s="88">
        <f t="shared" si="1"/>
        <v>314721</v>
      </c>
    </row>
    <row r="18" spans="1:69" s="8" customFormat="1" x14ac:dyDescent="0.25">
      <c r="A18" s="3" t="s">
        <v>42</v>
      </c>
      <c r="B18" s="11">
        <v>492416</v>
      </c>
      <c r="C18" s="11">
        <v>786075</v>
      </c>
      <c r="D18" s="11">
        <v>1541067</v>
      </c>
      <c r="E18" s="11">
        <v>2963881</v>
      </c>
      <c r="F18" s="11">
        <v>1149515</v>
      </c>
      <c r="G18" s="11">
        <v>1628764</v>
      </c>
      <c r="H18" s="11">
        <v>5204312</v>
      </c>
      <c r="I18" s="11">
        <v>9393157</v>
      </c>
      <c r="J18" s="11">
        <v>1965880</v>
      </c>
      <c r="K18" s="11">
        <v>3368756</v>
      </c>
      <c r="L18" s="11">
        <v>2656979</v>
      </c>
      <c r="M18" s="11">
        <v>4986976</v>
      </c>
      <c r="N18" s="11">
        <v>648092.28</v>
      </c>
      <c r="O18" s="11">
        <v>1057068.58</v>
      </c>
      <c r="P18" s="11">
        <v>301228</v>
      </c>
      <c r="Q18" s="11">
        <v>561501</v>
      </c>
      <c r="R18" s="11">
        <v>2125958</v>
      </c>
      <c r="S18" s="11">
        <v>3950659</v>
      </c>
      <c r="T18" s="11">
        <v>1644417</v>
      </c>
      <c r="U18" s="11">
        <v>3061605</v>
      </c>
      <c r="V18" s="11">
        <v>3762402</v>
      </c>
      <c r="W18" s="11">
        <v>6663949</v>
      </c>
      <c r="X18" s="11">
        <v>773008</v>
      </c>
      <c r="Y18" s="11">
        <v>1801026</v>
      </c>
      <c r="Z18" s="11">
        <v>6470041</v>
      </c>
      <c r="AA18" s="11">
        <v>12094062</v>
      </c>
      <c r="AB18" s="11">
        <v>1700962</v>
      </c>
      <c r="AC18" s="11">
        <v>3330066</v>
      </c>
      <c r="AD18" s="11">
        <v>368976</v>
      </c>
      <c r="AE18" s="11">
        <v>729165</v>
      </c>
      <c r="AF18" s="11">
        <v>1055028</v>
      </c>
      <c r="AG18" s="11">
        <v>2245397</v>
      </c>
      <c r="AH18" s="11">
        <v>96533</v>
      </c>
      <c r="AI18" s="11">
        <v>230460</v>
      </c>
      <c r="AJ18" s="11">
        <v>824666</v>
      </c>
      <c r="AK18" s="11">
        <v>1474172</v>
      </c>
      <c r="AL18" s="11">
        <v>1237495</v>
      </c>
      <c r="AM18" s="11">
        <v>2321680</v>
      </c>
      <c r="AN18" s="11">
        <v>9046748</v>
      </c>
      <c r="AO18" s="11">
        <v>16567544</v>
      </c>
      <c r="AP18" s="11">
        <v>226390</v>
      </c>
      <c r="AQ18" s="11">
        <v>431189</v>
      </c>
      <c r="AR18" s="11">
        <v>229846</v>
      </c>
      <c r="AS18" s="11">
        <v>436752</v>
      </c>
      <c r="AT18" s="11">
        <v>36396950</v>
      </c>
      <c r="AU18" s="11">
        <v>7181059</v>
      </c>
      <c r="AV18" s="11">
        <v>1817087</v>
      </c>
      <c r="AW18" s="11">
        <v>3263788</v>
      </c>
      <c r="AX18" s="11">
        <v>1003074</v>
      </c>
      <c r="AY18" s="11">
        <v>2032497</v>
      </c>
      <c r="AZ18" s="11">
        <v>2466260</v>
      </c>
      <c r="BA18" s="11">
        <v>4375092</v>
      </c>
      <c r="BB18" s="11">
        <v>895575</v>
      </c>
      <c r="BC18" s="11">
        <v>1725908</v>
      </c>
      <c r="BD18" s="11">
        <v>3331279</v>
      </c>
      <c r="BE18" s="11">
        <v>6036045</v>
      </c>
      <c r="BF18" s="11">
        <v>4512664</v>
      </c>
      <c r="BG18" s="11">
        <v>7724308</v>
      </c>
      <c r="BH18" s="11">
        <v>9832979</v>
      </c>
      <c r="BI18" s="11">
        <v>27917690</v>
      </c>
      <c r="BJ18" s="11">
        <v>5611215</v>
      </c>
      <c r="BK18" s="11">
        <v>15020263</v>
      </c>
      <c r="BL18" s="11">
        <v>8619979</v>
      </c>
      <c r="BM18" s="11">
        <v>16898744</v>
      </c>
      <c r="BN18" s="11">
        <v>651050</v>
      </c>
      <c r="BO18" s="11">
        <v>1111017</v>
      </c>
      <c r="BP18" s="80">
        <f t="shared" si="0"/>
        <v>118660071.28</v>
      </c>
      <c r="BQ18" s="80">
        <f t="shared" si="1"/>
        <v>173370315.57999998</v>
      </c>
    </row>
    <row r="21" spans="1:69" x14ac:dyDescent="0.25">
      <c r="S21" s="95"/>
    </row>
    <row r="22" spans="1:69" x14ac:dyDescent="0.25">
      <c r="S22" s="95"/>
    </row>
    <row r="23" spans="1:69" x14ac:dyDescent="0.25">
      <c r="S23" s="95"/>
    </row>
    <row r="24" spans="1:69" x14ac:dyDescent="0.25">
      <c r="S24" s="95"/>
    </row>
    <row r="25" spans="1:69" x14ac:dyDescent="0.25">
      <c r="S25" s="95"/>
    </row>
    <row r="26" spans="1:69" x14ac:dyDescent="0.25">
      <c r="S26" s="95"/>
    </row>
    <row r="27" spans="1:69" x14ac:dyDescent="0.25">
      <c r="S27" s="95"/>
    </row>
    <row r="28" spans="1:69" x14ac:dyDescent="0.25">
      <c r="S28" s="95"/>
    </row>
    <row r="29" spans="1:69" x14ac:dyDescent="0.25">
      <c r="S29" s="95"/>
    </row>
    <row r="30" spans="1:69" x14ac:dyDescent="0.25">
      <c r="S30" s="95"/>
    </row>
    <row r="31" spans="1:69" x14ac:dyDescent="0.25">
      <c r="S31" s="95"/>
    </row>
    <row r="32" spans="1:69" x14ac:dyDescent="0.25">
      <c r="S32" s="95"/>
    </row>
    <row r="33" spans="19:19" x14ac:dyDescent="0.25">
      <c r="S33" s="95"/>
    </row>
    <row r="34" spans="19:19" x14ac:dyDescent="0.25">
      <c r="S34" s="95"/>
    </row>
    <row r="35" spans="19:19" x14ac:dyDescent="0.25">
      <c r="S35" s="95"/>
    </row>
    <row r="36" spans="19:19" x14ac:dyDescent="0.25">
      <c r="S36" s="95"/>
    </row>
    <row r="37" spans="19:19" x14ac:dyDescent="0.25">
      <c r="S37" s="95"/>
    </row>
    <row r="38" spans="19:19" x14ac:dyDescent="0.25">
      <c r="S38" s="95"/>
    </row>
    <row r="39" spans="19:19" x14ac:dyDescent="0.25">
      <c r="S39" s="95"/>
    </row>
    <row r="40" spans="19:19" x14ac:dyDescent="0.25">
      <c r="S40" s="95"/>
    </row>
    <row r="41" spans="19:19" x14ac:dyDescent="0.25">
      <c r="S41" s="95"/>
    </row>
    <row r="42" spans="19:19" x14ac:dyDescent="0.25">
      <c r="S42" s="95"/>
    </row>
  </sheetData>
  <mergeCells count="34">
    <mergeCell ref="L3:M3"/>
    <mergeCell ref="B3:C3"/>
    <mergeCell ref="D3:E3"/>
    <mergeCell ref="F3:G3"/>
    <mergeCell ref="H3:I3"/>
    <mergeCell ref="J3:K3"/>
    <mergeCell ref="BF3:BG3"/>
    <mergeCell ref="AJ3:AK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V3:AW3"/>
    <mergeCell ref="AX3:AY3"/>
    <mergeCell ref="AZ3:BA3"/>
    <mergeCell ref="BB3:BC3"/>
    <mergeCell ref="BD3:BE3"/>
    <mergeCell ref="AL3:AM3"/>
    <mergeCell ref="AN3:AO3"/>
    <mergeCell ref="AP3:AQ3"/>
    <mergeCell ref="AR3:AS3"/>
    <mergeCell ref="AT3:AU3"/>
    <mergeCell ref="BJ3:BK3"/>
    <mergeCell ref="BL3:BM3"/>
    <mergeCell ref="BN3:BO3"/>
    <mergeCell ref="BP3:BQ3"/>
    <mergeCell ref="BH3:BI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" customWidth="1"/>
    <col min="2" max="34" width="16" style="7" customWidth="1"/>
    <col min="35" max="35" width="16" style="8" customWidth="1"/>
    <col min="36" max="16384" width="9.140625" style="7"/>
  </cols>
  <sheetData>
    <row r="1" spans="1:35" ht="18.75" x14ac:dyDescent="0.3">
      <c r="A1" s="9" t="s">
        <v>300</v>
      </c>
    </row>
    <row r="2" spans="1:35" x14ac:dyDescent="0.25">
      <c r="A2" s="7" t="s">
        <v>34</v>
      </c>
    </row>
    <row r="3" spans="1:35" x14ac:dyDescent="0.25">
      <c r="A3" s="1" t="s">
        <v>0</v>
      </c>
      <c r="B3" s="94" t="s">
        <v>1</v>
      </c>
      <c r="C3" s="94" t="s">
        <v>285</v>
      </c>
      <c r="D3" s="94" t="s">
        <v>2</v>
      </c>
      <c r="E3" s="94" t="s">
        <v>3</v>
      </c>
      <c r="F3" s="94" t="s">
        <v>4</v>
      </c>
      <c r="G3" s="94" t="s">
        <v>286</v>
      </c>
      <c r="H3" s="94" t="s">
        <v>6</v>
      </c>
      <c r="I3" s="94" t="s">
        <v>5</v>
      </c>
      <c r="J3" s="94" t="s">
        <v>7</v>
      </c>
      <c r="K3" s="94" t="s">
        <v>287</v>
      </c>
      <c r="L3" s="94" t="s">
        <v>8</v>
      </c>
      <c r="M3" s="94" t="s">
        <v>288</v>
      </c>
      <c r="N3" s="94" t="s">
        <v>9</v>
      </c>
      <c r="O3" s="94" t="s">
        <v>10</v>
      </c>
      <c r="P3" s="94" t="s">
        <v>289</v>
      </c>
      <c r="Q3" s="94" t="s">
        <v>11</v>
      </c>
      <c r="R3" s="94" t="s">
        <v>12</v>
      </c>
      <c r="S3" s="94" t="s">
        <v>290</v>
      </c>
      <c r="T3" s="94" t="s">
        <v>299</v>
      </c>
      <c r="U3" s="94" t="s">
        <v>13</v>
      </c>
      <c r="V3" s="94" t="s">
        <v>291</v>
      </c>
      <c r="W3" s="94" t="s">
        <v>292</v>
      </c>
      <c r="X3" s="94" t="s">
        <v>307</v>
      </c>
      <c r="Y3" s="94" t="s">
        <v>293</v>
      </c>
      <c r="Z3" s="94" t="s">
        <v>14</v>
      </c>
      <c r="AA3" s="94" t="s">
        <v>15</v>
      </c>
      <c r="AB3" s="94" t="s">
        <v>16</v>
      </c>
      <c r="AC3" s="94" t="s">
        <v>17</v>
      </c>
      <c r="AD3" s="94" t="s">
        <v>18</v>
      </c>
      <c r="AE3" s="113" t="s">
        <v>294</v>
      </c>
      <c r="AF3" s="113" t="s">
        <v>295</v>
      </c>
      <c r="AG3" s="113" t="s">
        <v>19</v>
      </c>
      <c r="AH3" s="94" t="s">
        <v>20</v>
      </c>
      <c r="AI3" s="112" t="s">
        <v>21</v>
      </c>
    </row>
    <row r="4" spans="1:35" x14ac:dyDescent="0.25">
      <c r="A4" s="108" t="s">
        <v>35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>
        <v>575</v>
      </c>
      <c r="AF4" s="108">
        <v>2565</v>
      </c>
      <c r="AG4" s="36">
        <v>13589</v>
      </c>
      <c r="AH4" s="108"/>
      <c r="AI4" s="81">
        <f t="shared" ref="AI4:AI11" si="0">SUM(B4:AH4)</f>
        <v>16729</v>
      </c>
    </row>
    <row r="5" spans="1:35" x14ac:dyDescent="0.25">
      <c r="A5" s="108" t="s">
        <v>36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81">
        <f t="shared" si="0"/>
        <v>0</v>
      </c>
    </row>
    <row r="6" spans="1:35" x14ac:dyDescent="0.25">
      <c r="A6" s="108" t="s">
        <v>37</v>
      </c>
      <c r="B6" s="108"/>
      <c r="C6" s="108">
        <v>9640673</v>
      </c>
      <c r="D6" s="108"/>
      <c r="E6" s="108">
        <v>1666197</v>
      </c>
      <c r="F6" s="30">
        <v>1719685</v>
      </c>
      <c r="G6" s="108">
        <v>1432645</v>
      </c>
      <c r="H6" s="108"/>
      <c r="I6" s="108"/>
      <c r="J6" s="108"/>
      <c r="K6" s="108">
        <v>8277407</v>
      </c>
      <c r="L6" s="108">
        <v>8494133</v>
      </c>
      <c r="M6" s="108">
        <f>310+5517832</f>
        <v>5518142</v>
      </c>
      <c r="N6" s="108">
        <v>15752244</v>
      </c>
      <c r="O6" s="108">
        <v>4519821</v>
      </c>
      <c r="P6" s="108"/>
      <c r="Q6" s="108">
        <v>7481249</v>
      </c>
      <c r="R6" s="108">
        <v>2796224</v>
      </c>
      <c r="S6" s="108">
        <v>3298637</v>
      </c>
      <c r="T6" s="108">
        <v>75935</v>
      </c>
      <c r="U6" s="108"/>
      <c r="V6" s="108"/>
      <c r="W6" s="108">
        <v>615613.36</v>
      </c>
      <c r="X6" s="108">
        <v>7667050</v>
      </c>
      <c r="Y6" s="108">
        <v>2458430</v>
      </c>
      <c r="Z6" s="108">
        <v>2550000</v>
      </c>
      <c r="AA6" s="108">
        <v>13326000</v>
      </c>
      <c r="AB6" s="108">
        <v>1968</v>
      </c>
      <c r="AC6" s="108">
        <v>10369828</v>
      </c>
      <c r="AD6" s="108">
        <v>4705428</v>
      </c>
      <c r="AE6" s="108">
        <v>18908542</v>
      </c>
      <c r="AF6" s="108">
        <v>138578037</v>
      </c>
      <c r="AG6" s="108"/>
      <c r="AH6" s="108">
        <v>1676182</v>
      </c>
      <c r="AI6" s="81">
        <f t="shared" si="0"/>
        <v>271530070.36000001</v>
      </c>
    </row>
    <row r="7" spans="1:35" x14ac:dyDescent="0.25">
      <c r="A7" s="108" t="s">
        <v>38</v>
      </c>
      <c r="B7" s="108"/>
      <c r="C7" s="108"/>
      <c r="D7" s="108">
        <v>39437983</v>
      </c>
      <c r="E7" s="108"/>
      <c r="F7" s="108"/>
      <c r="G7" s="108">
        <v>6347567</v>
      </c>
      <c r="H7" s="108">
        <v>26549180.309999999</v>
      </c>
      <c r="I7" s="108"/>
      <c r="J7" s="108"/>
      <c r="K7" s="108"/>
      <c r="L7" s="108"/>
      <c r="M7" s="108"/>
      <c r="N7" s="108">
        <v>333642</v>
      </c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>
        <v>151237</v>
      </c>
      <c r="AE7" s="108">
        <v>138578037</v>
      </c>
      <c r="AF7" s="108">
        <v>11386633</v>
      </c>
      <c r="AG7" s="36">
        <v>13922440</v>
      </c>
      <c r="AH7" s="108"/>
      <c r="AI7" s="81">
        <f t="shared" si="0"/>
        <v>236706719.31</v>
      </c>
    </row>
    <row r="8" spans="1:35" x14ac:dyDescent="0.25">
      <c r="A8" s="108" t="s">
        <v>39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>
        <v>1166</v>
      </c>
      <c r="P8" s="108"/>
      <c r="Q8" s="108"/>
      <c r="R8" s="108"/>
      <c r="S8" s="108"/>
      <c r="T8" s="108"/>
      <c r="U8" s="108">
        <v>16558</v>
      </c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81">
        <f t="shared" si="0"/>
        <v>17724</v>
      </c>
    </row>
    <row r="9" spans="1:35" x14ac:dyDescent="0.25">
      <c r="A9" s="108" t="s">
        <v>40</v>
      </c>
      <c r="B9" s="108">
        <f>B11-B10-B8-B7-B6-B5-B4</f>
        <v>0</v>
      </c>
      <c r="C9" s="108">
        <f t="shared" ref="C9:AH9" si="1">C11-C10-C8-C7-C6-C5-C4</f>
        <v>0</v>
      </c>
      <c r="D9" s="108">
        <f t="shared" si="1"/>
        <v>0</v>
      </c>
      <c r="E9" s="108">
        <f t="shared" si="1"/>
        <v>64020024</v>
      </c>
      <c r="F9" s="108">
        <f t="shared" si="1"/>
        <v>0</v>
      </c>
      <c r="G9" s="108">
        <f t="shared" si="1"/>
        <v>200000</v>
      </c>
      <c r="H9" s="108">
        <f t="shared" si="1"/>
        <v>600000.00000000373</v>
      </c>
      <c r="I9" s="108">
        <f t="shared" si="1"/>
        <v>0</v>
      </c>
      <c r="J9" s="108">
        <f t="shared" si="1"/>
        <v>0</v>
      </c>
      <c r="K9" s="108">
        <f t="shared" si="1"/>
        <v>126314</v>
      </c>
      <c r="L9" s="108">
        <f t="shared" si="1"/>
        <v>315900</v>
      </c>
      <c r="M9" s="108">
        <f t="shared" si="1"/>
        <v>40568</v>
      </c>
      <c r="N9" s="108">
        <f t="shared" si="1"/>
        <v>277144</v>
      </c>
      <c r="O9" s="108">
        <f t="shared" si="1"/>
        <v>0</v>
      </c>
      <c r="P9" s="108">
        <f t="shared" si="1"/>
        <v>0</v>
      </c>
      <c r="Q9" s="108">
        <f t="shared" si="1"/>
        <v>0</v>
      </c>
      <c r="R9" s="108">
        <f t="shared" si="1"/>
        <v>0</v>
      </c>
      <c r="S9" s="108">
        <f t="shared" si="1"/>
        <v>0</v>
      </c>
      <c r="T9" s="108">
        <f t="shared" si="1"/>
        <v>0</v>
      </c>
      <c r="U9" s="108">
        <f t="shared" si="1"/>
        <v>126083</v>
      </c>
      <c r="V9" s="108">
        <f t="shared" si="1"/>
        <v>0</v>
      </c>
      <c r="W9" s="108">
        <f t="shared" si="1"/>
        <v>0</v>
      </c>
      <c r="X9" s="108">
        <f t="shared" si="1"/>
        <v>207639</v>
      </c>
      <c r="Y9" s="108">
        <f t="shared" si="1"/>
        <v>396262</v>
      </c>
      <c r="Z9" s="108">
        <f t="shared" si="1"/>
        <v>0</v>
      </c>
      <c r="AA9" s="108">
        <f t="shared" si="1"/>
        <v>0</v>
      </c>
      <c r="AB9" s="108">
        <f t="shared" si="1"/>
        <v>0</v>
      </c>
      <c r="AC9" s="108">
        <f t="shared" si="1"/>
        <v>150000</v>
      </c>
      <c r="AD9" s="108">
        <f t="shared" si="1"/>
        <v>445000</v>
      </c>
      <c r="AE9" s="108">
        <f t="shared" si="1"/>
        <v>17140874</v>
      </c>
      <c r="AF9" s="108">
        <f t="shared" si="1"/>
        <v>-138578037</v>
      </c>
      <c r="AG9" s="108">
        <f t="shared" si="1"/>
        <v>856656</v>
      </c>
      <c r="AH9" s="108">
        <f t="shared" si="1"/>
        <v>0</v>
      </c>
      <c r="AI9" s="81">
        <f t="shared" si="0"/>
        <v>-53675573</v>
      </c>
    </row>
    <row r="10" spans="1:35" x14ac:dyDescent="0.25">
      <c r="A10" s="108" t="s">
        <v>41</v>
      </c>
      <c r="B10" s="108"/>
      <c r="C10" s="108"/>
      <c r="D10" s="108">
        <v>204901</v>
      </c>
      <c r="E10" s="108"/>
      <c r="F10" s="108"/>
      <c r="G10" s="108">
        <v>7071376</v>
      </c>
      <c r="H10" s="108">
        <v>405697.11</v>
      </c>
      <c r="I10" s="108"/>
      <c r="J10" s="108">
        <v>1437718</v>
      </c>
      <c r="K10" s="108"/>
      <c r="L10" s="108">
        <v>12340791</v>
      </c>
      <c r="M10" s="108"/>
      <c r="N10" s="108">
        <v>48591480</v>
      </c>
      <c r="O10" s="108">
        <v>20041918</v>
      </c>
      <c r="P10" s="108"/>
      <c r="Q10" s="108"/>
      <c r="R10" s="108"/>
      <c r="S10" s="108"/>
      <c r="T10" s="108"/>
      <c r="U10" s="108"/>
      <c r="V10" s="108"/>
      <c r="W10" s="108"/>
      <c r="X10" s="108">
        <v>9398214</v>
      </c>
      <c r="Y10" s="108"/>
      <c r="Z10" s="108">
        <v>6389408</v>
      </c>
      <c r="AA10" s="108">
        <v>9662457</v>
      </c>
      <c r="AB10" s="108">
        <v>17161863</v>
      </c>
      <c r="AC10" s="108">
        <v>4914775</v>
      </c>
      <c r="AD10" s="108">
        <v>13249684</v>
      </c>
      <c r="AE10" s="108"/>
      <c r="AF10" s="108">
        <v>154464</v>
      </c>
      <c r="AG10" s="108"/>
      <c r="AH10" s="108">
        <v>5485806</v>
      </c>
      <c r="AI10" s="81">
        <f t="shared" si="0"/>
        <v>156510552.11000001</v>
      </c>
    </row>
    <row r="11" spans="1:35" s="8" customFormat="1" x14ac:dyDescent="0.25">
      <c r="A11" s="11" t="s">
        <v>42</v>
      </c>
      <c r="B11" s="11"/>
      <c r="C11" s="11">
        <v>9640673</v>
      </c>
      <c r="D11" s="11">
        <v>39642884</v>
      </c>
      <c r="E11" s="11">
        <v>65686221</v>
      </c>
      <c r="F11" s="11">
        <v>1719685</v>
      </c>
      <c r="G11" s="11">
        <v>15051588</v>
      </c>
      <c r="H11" s="11">
        <v>27554877.420000002</v>
      </c>
      <c r="I11" s="11"/>
      <c r="J11" s="11">
        <v>1437718</v>
      </c>
      <c r="K11" s="11">
        <v>8403721</v>
      </c>
      <c r="L11" s="11">
        <v>21150824</v>
      </c>
      <c r="M11" s="11">
        <v>5558710</v>
      </c>
      <c r="N11" s="11">
        <v>64954510</v>
      </c>
      <c r="O11" s="11">
        <v>24562905</v>
      </c>
      <c r="P11" s="11"/>
      <c r="Q11" s="11">
        <v>7481249</v>
      </c>
      <c r="R11" s="11">
        <v>2796224</v>
      </c>
      <c r="S11" s="11">
        <v>3298637</v>
      </c>
      <c r="T11" s="11">
        <v>75935</v>
      </c>
      <c r="U11" s="11">
        <v>142641</v>
      </c>
      <c r="V11" s="11"/>
      <c r="W11" s="11">
        <v>615613.36</v>
      </c>
      <c r="X11" s="11">
        <v>17272903</v>
      </c>
      <c r="Y11" s="11">
        <v>2854692</v>
      </c>
      <c r="Z11" s="11">
        <v>8939408</v>
      </c>
      <c r="AA11" s="11">
        <v>22988457</v>
      </c>
      <c r="AB11" s="11">
        <v>17163831</v>
      </c>
      <c r="AC11" s="11">
        <v>15434603</v>
      </c>
      <c r="AD11" s="11">
        <v>18551349</v>
      </c>
      <c r="AE11" s="11">
        <v>174628028</v>
      </c>
      <c r="AF11" s="11">
        <v>11543662</v>
      </c>
      <c r="AG11" s="11">
        <v>14792685</v>
      </c>
      <c r="AH11" s="11">
        <v>7161988</v>
      </c>
      <c r="AI11" s="80">
        <f t="shared" si="0"/>
        <v>611106221.77999997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2.28515625" style="57" customWidth="1"/>
    <col min="2" max="100" width="14.28515625" style="57" customWidth="1"/>
    <col min="101" max="16384" width="9.140625" style="57"/>
  </cols>
  <sheetData>
    <row r="1" spans="1:100" ht="18.75" x14ac:dyDescent="0.3">
      <c r="A1" s="56" t="s">
        <v>301</v>
      </c>
    </row>
    <row r="2" spans="1:100" x14ac:dyDescent="0.25">
      <c r="A2" s="58" t="s">
        <v>34</v>
      </c>
    </row>
    <row r="3" spans="1:100" x14ac:dyDescent="0.25">
      <c r="A3" s="121" t="s">
        <v>0</v>
      </c>
      <c r="B3" s="122" t="s">
        <v>1</v>
      </c>
      <c r="C3" s="122"/>
      <c r="D3" s="122"/>
      <c r="E3" s="122" t="s">
        <v>285</v>
      </c>
      <c r="F3" s="122"/>
      <c r="G3" s="122"/>
      <c r="H3" s="122" t="s">
        <v>2</v>
      </c>
      <c r="I3" s="122"/>
      <c r="J3" s="122"/>
      <c r="K3" s="122" t="s">
        <v>3</v>
      </c>
      <c r="L3" s="122"/>
      <c r="M3" s="122"/>
      <c r="N3" s="122" t="s">
        <v>4</v>
      </c>
      <c r="O3" s="122"/>
      <c r="P3" s="122"/>
      <c r="Q3" s="122" t="s">
        <v>286</v>
      </c>
      <c r="R3" s="122"/>
      <c r="S3" s="122"/>
      <c r="T3" s="122" t="s">
        <v>6</v>
      </c>
      <c r="U3" s="122"/>
      <c r="V3" s="122"/>
      <c r="W3" s="122" t="s">
        <v>5</v>
      </c>
      <c r="X3" s="122"/>
      <c r="Y3" s="122"/>
      <c r="Z3" s="122" t="s">
        <v>7</v>
      </c>
      <c r="AA3" s="122"/>
      <c r="AB3" s="122"/>
      <c r="AC3" s="122" t="s">
        <v>287</v>
      </c>
      <c r="AD3" s="122"/>
      <c r="AE3" s="122"/>
      <c r="AF3" s="122" t="s">
        <v>8</v>
      </c>
      <c r="AG3" s="122"/>
      <c r="AH3" s="122"/>
      <c r="AI3" s="122" t="s">
        <v>288</v>
      </c>
      <c r="AJ3" s="122"/>
      <c r="AK3" s="122"/>
      <c r="AL3" s="122" t="s">
        <v>9</v>
      </c>
      <c r="AM3" s="122"/>
      <c r="AN3" s="122"/>
      <c r="AO3" s="122" t="s">
        <v>10</v>
      </c>
      <c r="AP3" s="122"/>
      <c r="AQ3" s="122"/>
      <c r="AR3" s="122" t="s">
        <v>289</v>
      </c>
      <c r="AS3" s="122"/>
      <c r="AT3" s="122"/>
      <c r="AU3" s="122" t="s">
        <v>11</v>
      </c>
      <c r="AV3" s="122"/>
      <c r="AW3" s="122"/>
      <c r="AX3" s="122" t="s">
        <v>12</v>
      </c>
      <c r="AY3" s="122"/>
      <c r="AZ3" s="122"/>
      <c r="BA3" s="122" t="s">
        <v>290</v>
      </c>
      <c r="BB3" s="122"/>
      <c r="BC3" s="122"/>
      <c r="BD3" s="122" t="s">
        <v>299</v>
      </c>
      <c r="BE3" s="122"/>
      <c r="BF3" s="122"/>
      <c r="BG3" s="122" t="s">
        <v>13</v>
      </c>
      <c r="BH3" s="122"/>
      <c r="BI3" s="122"/>
      <c r="BJ3" s="122" t="s">
        <v>291</v>
      </c>
      <c r="BK3" s="122"/>
      <c r="BL3" s="122"/>
      <c r="BM3" s="122" t="s">
        <v>292</v>
      </c>
      <c r="BN3" s="122"/>
      <c r="BO3" s="122"/>
      <c r="BP3" s="122" t="s">
        <v>307</v>
      </c>
      <c r="BQ3" s="122"/>
      <c r="BR3" s="122"/>
      <c r="BS3" s="122" t="s">
        <v>293</v>
      </c>
      <c r="BT3" s="122"/>
      <c r="BU3" s="122"/>
      <c r="BV3" s="122" t="s">
        <v>14</v>
      </c>
      <c r="BW3" s="122"/>
      <c r="BX3" s="122"/>
      <c r="BY3" s="122" t="s">
        <v>15</v>
      </c>
      <c r="BZ3" s="122"/>
      <c r="CA3" s="122"/>
      <c r="CB3" s="122" t="s">
        <v>16</v>
      </c>
      <c r="CC3" s="122"/>
      <c r="CD3" s="122"/>
      <c r="CE3" s="122" t="s">
        <v>17</v>
      </c>
      <c r="CF3" s="122"/>
      <c r="CG3" s="122"/>
      <c r="CH3" s="122" t="s">
        <v>18</v>
      </c>
      <c r="CI3" s="122"/>
      <c r="CJ3" s="122"/>
      <c r="CK3" s="122" t="s">
        <v>294</v>
      </c>
      <c r="CL3" s="122"/>
      <c r="CM3" s="122"/>
      <c r="CN3" s="122" t="s">
        <v>295</v>
      </c>
      <c r="CO3" s="122"/>
      <c r="CP3" s="122"/>
      <c r="CQ3" s="122" t="s">
        <v>19</v>
      </c>
      <c r="CR3" s="122"/>
      <c r="CS3" s="122"/>
      <c r="CT3" s="122" t="s">
        <v>20</v>
      </c>
      <c r="CU3" s="122"/>
      <c r="CV3" s="122"/>
    </row>
    <row r="4" spans="1:100" x14ac:dyDescent="0.25">
      <c r="A4" s="121"/>
      <c r="B4" s="45" t="s">
        <v>178</v>
      </c>
      <c r="C4" s="45" t="s">
        <v>179</v>
      </c>
      <c r="D4" s="45" t="s">
        <v>150</v>
      </c>
      <c r="E4" s="45" t="s">
        <v>178</v>
      </c>
      <c r="F4" s="45" t="s">
        <v>179</v>
      </c>
      <c r="G4" s="45" t="s">
        <v>150</v>
      </c>
      <c r="H4" s="45" t="s">
        <v>178</v>
      </c>
      <c r="I4" s="45" t="s">
        <v>179</v>
      </c>
      <c r="J4" s="45" t="s">
        <v>150</v>
      </c>
      <c r="K4" s="45" t="s">
        <v>178</v>
      </c>
      <c r="L4" s="45" t="s">
        <v>179</v>
      </c>
      <c r="M4" s="45" t="s">
        <v>150</v>
      </c>
      <c r="N4" s="45" t="s">
        <v>178</v>
      </c>
      <c r="O4" s="45" t="s">
        <v>179</v>
      </c>
      <c r="P4" s="45" t="s">
        <v>150</v>
      </c>
      <c r="Q4" s="45" t="s">
        <v>178</v>
      </c>
      <c r="R4" s="45" t="s">
        <v>179</v>
      </c>
      <c r="S4" s="45" t="s">
        <v>150</v>
      </c>
      <c r="T4" s="45" t="s">
        <v>178</v>
      </c>
      <c r="U4" s="45" t="s">
        <v>179</v>
      </c>
      <c r="V4" s="45" t="s">
        <v>150</v>
      </c>
      <c r="W4" s="45" t="s">
        <v>178</v>
      </c>
      <c r="X4" s="45" t="s">
        <v>179</v>
      </c>
      <c r="Y4" s="45" t="s">
        <v>150</v>
      </c>
      <c r="Z4" s="45" t="s">
        <v>178</v>
      </c>
      <c r="AA4" s="45" t="s">
        <v>179</v>
      </c>
      <c r="AB4" s="45" t="s">
        <v>150</v>
      </c>
      <c r="AC4" s="45" t="s">
        <v>178</v>
      </c>
      <c r="AD4" s="45" t="s">
        <v>179</v>
      </c>
      <c r="AE4" s="45" t="s">
        <v>150</v>
      </c>
      <c r="AF4" s="45" t="s">
        <v>178</v>
      </c>
      <c r="AG4" s="45" t="s">
        <v>179</v>
      </c>
      <c r="AH4" s="45" t="s">
        <v>150</v>
      </c>
      <c r="AI4" s="45" t="s">
        <v>178</v>
      </c>
      <c r="AJ4" s="45" t="s">
        <v>179</v>
      </c>
      <c r="AK4" s="45" t="s">
        <v>150</v>
      </c>
      <c r="AL4" s="45" t="s">
        <v>178</v>
      </c>
      <c r="AM4" s="45" t="s">
        <v>179</v>
      </c>
      <c r="AN4" s="45" t="s">
        <v>150</v>
      </c>
      <c r="AO4" s="45" t="s">
        <v>178</v>
      </c>
      <c r="AP4" s="45" t="s">
        <v>179</v>
      </c>
      <c r="AQ4" s="45" t="s">
        <v>150</v>
      </c>
      <c r="AR4" s="45" t="s">
        <v>178</v>
      </c>
      <c r="AS4" s="45" t="s">
        <v>179</v>
      </c>
      <c r="AT4" s="45" t="s">
        <v>150</v>
      </c>
      <c r="AU4" s="45" t="s">
        <v>178</v>
      </c>
      <c r="AV4" s="45" t="s">
        <v>179</v>
      </c>
      <c r="AW4" s="45" t="s">
        <v>150</v>
      </c>
      <c r="AX4" s="45" t="s">
        <v>178</v>
      </c>
      <c r="AY4" s="45" t="s">
        <v>179</v>
      </c>
      <c r="AZ4" s="45" t="s">
        <v>150</v>
      </c>
      <c r="BA4" s="45" t="s">
        <v>178</v>
      </c>
      <c r="BB4" s="45" t="s">
        <v>179</v>
      </c>
      <c r="BC4" s="45" t="s">
        <v>150</v>
      </c>
      <c r="BD4" s="45" t="s">
        <v>178</v>
      </c>
      <c r="BE4" s="45" t="s">
        <v>179</v>
      </c>
      <c r="BF4" s="45" t="s">
        <v>150</v>
      </c>
      <c r="BG4" s="45" t="s">
        <v>178</v>
      </c>
      <c r="BH4" s="45" t="s">
        <v>179</v>
      </c>
      <c r="BI4" s="45" t="s">
        <v>150</v>
      </c>
      <c r="BJ4" s="45" t="s">
        <v>178</v>
      </c>
      <c r="BK4" s="45" t="s">
        <v>179</v>
      </c>
      <c r="BL4" s="45" t="s">
        <v>150</v>
      </c>
      <c r="BM4" s="45" t="s">
        <v>178</v>
      </c>
      <c r="BN4" s="45" t="s">
        <v>179</v>
      </c>
      <c r="BO4" s="45" t="s">
        <v>150</v>
      </c>
      <c r="BP4" s="45" t="s">
        <v>178</v>
      </c>
      <c r="BQ4" s="45" t="s">
        <v>179</v>
      </c>
      <c r="BR4" s="45" t="s">
        <v>150</v>
      </c>
      <c r="BS4" s="45" t="s">
        <v>178</v>
      </c>
      <c r="BT4" s="45" t="s">
        <v>179</v>
      </c>
      <c r="BU4" s="45" t="s">
        <v>150</v>
      </c>
      <c r="BV4" s="45" t="s">
        <v>178</v>
      </c>
      <c r="BW4" s="45" t="s">
        <v>179</v>
      </c>
      <c r="BX4" s="45" t="s">
        <v>150</v>
      </c>
      <c r="BY4" s="70" t="s">
        <v>178</v>
      </c>
      <c r="BZ4" s="70" t="s">
        <v>179</v>
      </c>
      <c r="CA4" s="70" t="s">
        <v>150</v>
      </c>
      <c r="CB4" s="45" t="s">
        <v>178</v>
      </c>
      <c r="CC4" s="45" t="s">
        <v>179</v>
      </c>
      <c r="CD4" s="45" t="s">
        <v>150</v>
      </c>
      <c r="CE4" s="45" t="s">
        <v>178</v>
      </c>
      <c r="CF4" s="45" t="s">
        <v>179</v>
      </c>
      <c r="CG4" s="45" t="s">
        <v>150</v>
      </c>
      <c r="CH4" s="45" t="s">
        <v>178</v>
      </c>
      <c r="CI4" s="45" t="s">
        <v>179</v>
      </c>
      <c r="CJ4" s="45" t="s">
        <v>150</v>
      </c>
      <c r="CK4" s="45" t="s">
        <v>178</v>
      </c>
      <c r="CL4" s="45" t="s">
        <v>179</v>
      </c>
      <c r="CM4" s="45" t="s">
        <v>150</v>
      </c>
      <c r="CN4" s="45" t="s">
        <v>178</v>
      </c>
      <c r="CO4" s="45" t="s">
        <v>179</v>
      </c>
      <c r="CP4" s="45" t="s">
        <v>150</v>
      </c>
      <c r="CQ4" s="45" t="s">
        <v>178</v>
      </c>
      <c r="CR4" s="45" t="s">
        <v>179</v>
      </c>
      <c r="CS4" s="45" t="s">
        <v>150</v>
      </c>
      <c r="CT4" s="76" t="s">
        <v>178</v>
      </c>
      <c r="CU4" s="76" t="s">
        <v>179</v>
      </c>
      <c r="CV4" s="76" t="s">
        <v>150</v>
      </c>
    </row>
    <row r="5" spans="1:100" x14ac:dyDescent="0.25">
      <c r="A5" s="59" t="s">
        <v>180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</row>
    <row r="6" spans="1:100" ht="30" x14ac:dyDescent="0.25">
      <c r="A6" s="61" t="s">
        <v>181</v>
      </c>
      <c r="B6" s="60">
        <v>697181</v>
      </c>
      <c r="C6" s="60">
        <v>1343171</v>
      </c>
      <c r="D6" s="60">
        <f t="shared" ref="D6:D19" si="0">B6+C6</f>
        <v>2040352</v>
      </c>
      <c r="E6" s="60">
        <v>1025707</v>
      </c>
      <c r="F6" s="60">
        <v>1523923</v>
      </c>
      <c r="G6" s="60">
        <f>F6+E6</f>
        <v>2549630</v>
      </c>
      <c r="H6" s="60"/>
      <c r="I6" s="60"/>
      <c r="J6" s="60">
        <v>17056659</v>
      </c>
      <c r="K6" s="60">
        <v>24277682</v>
      </c>
      <c r="L6" s="60">
        <v>66288315</v>
      </c>
      <c r="M6" s="60">
        <f>L6+K6</f>
        <v>90565997</v>
      </c>
      <c r="N6" s="60">
        <v>2191995</v>
      </c>
      <c r="O6" s="60">
        <v>11214703</v>
      </c>
      <c r="P6" s="60">
        <f>O6+N6</f>
        <v>13406698</v>
      </c>
      <c r="Q6" s="60">
        <v>7635615</v>
      </c>
      <c r="R6" s="60">
        <v>64422000</v>
      </c>
      <c r="S6" s="60">
        <f>R6+Q6</f>
        <v>72057615</v>
      </c>
      <c r="T6" s="60">
        <f>10784641.19+5623266.8</f>
        <v>16407907.989999998</v>
      </c>
      <c r="U6" s="60">
        <f>14295919.72+7454097.86</f>
        <v>21750017.580000002</v>
      </c>
      <c r="V6" s="60">
        <f>U6+T6</f>
        <v>38157925.57</v>
      </c>
      <c r="W6" s="60">
        <v>220200</v>
      </c>
      <c r="X6" s="60">
        <v>869711</v>
      </c>
      <c r="Y6" s="60">
        <f>X6+W6</f>
        <v>1089911</v>
      </c>
      <c r="Z6" s="60">
        <v>3563906</v>
      </c>
      <c r="AA6" s="60">
        <v>15994369</v>
      </c>
      <c r="AB6" s="60">
        <f>AA6+Z6</f>
        <v>19558275</v>
      </c>
      <c r="AC6" s="60">
        <v>2639273</v>
      </c>
      <c r="AD6" s="60">
        <v>18546929</v>
      </c>
      <c r="AE6" s="60">
        <f>AD6+AC6</f>
        <v>21186202</v>
      </c>
      <c r="AF6" s="60">
        <v>7659263</v>
      </c>
      <c r="AG6" s="60">
        <v>34669755</v>
      </c>
      <c r="AH6" s="60">
        <f>AG6+AF6</f>
        <v>42329018</v>
      </c>
      <c r="AI6" s="60">
        <v>1710133</v>
      </c>
      <c r="AJ6" s="60">
        <v>5360248</v>
      </c>
      <c r="AK6" s="60">
        <f>AJ6+AI6</f>
        <v>7070381</v>
      </c>
      <c r="AL6" s="60">
        <v>24789810</v>
      </c>
      <c r="AM6" s="60">
        <v>81716932</v>
      </c>
      <c r="AN6" s="60">
        <f>AM6+AL6</f>
        <v>106506742</v>
      </c>
      <c r="AO6" s="60">
        <v>8911649</v>
      </c>
      <c r="AP6" s="60">
        <v>32624038</v>
      </c>
      <c r="AQ6" s="60">
        <f>AP6+AO6</f>
        <v>41535687</v>
      </c>
      <c r="AR6" s="60">
        <v>1051832</v>
      </c>
      <c r="AS6" s="60">
        <v>3494590</v>
      </c>
      <c r="AT6" s="60">
        <f>AS6+AR6</f>
        <v>4546422</v>
      </c>
      <c r="AU6" s="60">
        <v>1937228</v>
      </c>
      <c r="AV6" s="60">
        <v>4702893</v>
      </c>
      <c r="AW6" s="60">
        <f>AV6+AU6</f>
        <v>6640121</v>
      </c>
      <c r="AX6" s="60">
        <v>1478777</v>
      </c>
      <c r="AY6" s="60">
        <v>8419971</v>
      </c>
      <c r="AZ6" s="60">
        <f>AY6+AX6</f>
        <v>9898748</v>
      </c>
      <c r="BA6" s="60">
        <v>842624</v>
      </c>
      <c r="BB6" s="60">
        <v>1064122</v>
      </c>
      <c r="BC6" s="60">
        <f>BB6+BA6</f>
        <v>1906746</v>
      </c>
      <c r="BD6" s="60">
        <v>675381</v>
      </c>
      <c r="BE6" s="60">
        <v>1531518</v>
      </c>
      <c r="BF6" s="60">
        <f>BE6+BD6</f>
        <v>2206899</v>
      </c>
      <c r="BG6" s="60">
        <v>490539</v>
      </c>
      <c r="BH6" s="60">
        <v>92620942</v>
      </c>
      <c r="BI6" s="60">
        <f>BH6+BG6</f>
        <v>93111481</v>
      </c>
      <c r="BJ6" s="60">
        <v>268862</v>
      </c>
      <c r="BK6" s="60">
        <v>624082</v>
      </c>
      <c r="BL6" s="60">
        <f>BK6+BJ6</f>
        <v>892944</v>
      </c>
      <c r="BM6" s="60"/>
      <c r="BN6" s="60"/>
      <c r="BO6" s="60">
        <f>BN6+BM6</f>
        <v>0</v>
      </c>
      <c r="BP6" s="60">
        <v>6199556</v>
      </c>
      <c r="BQ6" s="60">
        <v>27567580</v>
      </c>
      <c r="BR6" s="60">
        <f t="shared" ref="BR6:BR19" si="1">BQ6+BP6</f>
        <v>33767136</v>
      </c>
      <c r="BS6" s="60">
        <v>947759</v>
      </c>
      <c r="BT6" s="60">
        <v>1796977</v>
      </c>
      <c r="BU6" s="60">
        <f>BT6+BS6</f>
        <v>2744736</v>
      </c>
      <c r="BV6" s="60">
        <v>4027220</v>
      </c>
      <c r="BW6" s="60">
        <v>20000920</v>
      </c>
      <c r="BX6" s="60">
        <f>BW6+BV6</f>
        <v>24028140</v>
      </c>
      <c r="BY6" s="60">
        <v>2015922</v>
      </c>
      <c r="BZ6" s="60">
        <v>14458406</v>
      </c>
      <c r="CA6" s="60">
        <f>BZ6+BY6</f>
        <v>16474328</v>
      </c>
      <c r="CB6" s="60">
        <v>7006451</v>
      </c>
      <c r="CC6" s="60">
        <v>27443816</v>
      </c>
      <c r="CD6" s="60">
        <f t="shared" ref="CD6:CD19" si="2">CC6+CB6</f>
        <v>34450267</v>
      </c>
      <c r="CE6" s="60">
        <v>7624070</v>
      </c>
      <c r="CF6" s="60">
        <v>12571454</v>
      </c>
      <c r="CG6" s="60">
        <f>CF6+CE6</f>
        <v>20195524</v>
      </c>
      <c r="CH6" s="60">
        <v>9035580</v>
      </c>
      <c r="CI6" s="60">
        <v>38265336</v>
      </c>
      <c r="CJ6" s="60">
        <f>CI6+CH6</f>
        <v>47300916</v>
      </c>
      <c r="CK6" s="60">
        <v>80858725</v>
      </c>
      <c r="CL6" s="60">
        <v>172074000</v>
      </c>
      <c r="CM6" s="60">
        <f>CL6+CK6</f>
        <v>252932725</v>
      </c>
      <c r="CN6" s="60"/>
      <c r="CO6" s="60"/>
      <c r="CP6" s="60">
        <v>107944818</v>
      </c>
      <c r="CQ6" s="60"/>
      <c r="CR6" s="60"/>
      <c r="CS6" s="60">
        <v>137346753</v>
      </c>
      <c r="CT6" s="60">
        <v>3194071</v>
      </c>
      <c r="CU6" s="60">
        <v>8322007</v>
      </c>
      <c r="CV6" s="60">
        <f t="shared" ref="CV6:CV19" si="3">CU6+CT6</f>
        <v>11516078</v>
      </c>
    </row>
    <row r="7" spans="1:100" ht="15" customHeight="1" x14ac:dyDescent="0.25">
      <c r="A7" s="61" t="s">
        <v>182</v>
      </c>
      <c r="B7" s="60"/>
      <c r="C7" s="60"/>
      <c r="D7" s="60">
        <f t="shared" si="0"/>
        <v>0</v>
      </c>
      <c r="E7" s="60">
        <v>1472727</v>
      </c>
      <c r="F7" s="60">
        <v>2840706</v>
      </c>
      <c r="G7" s="60">
        <f t="shared" ref="G7:G19" si="4">F7+E7</f>
        <v>4313433</v>
      </c>
      <c r="H7" s="60"/>
      <c r="I7" s="60"/>
      <c r="J7" s="60">
        <v>17375358</v>
      </c>
      <c r="K7" s="60"/>
      <c r="L7" s="60"/>
      <c r="M7" s="60">
        <f t="shared" ref="M7:M19" si="5">L7+K7</f>
        <v>0</v>
      </c>
      <c r="N7" s="60">
        <v>882250</v>
      </c>
      <c r="O7" s="60">
        <v>4513773</v>
      </c>
      <c r="P7" s="60">
        <f t="shared" ref="P7:P19" si="6">O7+N7</f>
        <v>5396023</v>
      </c>
      <c r="Q7" s="60"/>
      <c r="R7" s="60"/>
      <c r="S7" s="60">
        <f t="shared" ref="S7:S19" si="7">R7+Q7</f>
        <v>0</v>
      </c>
      <c r="T7" s="60">
        <v>1225063.17</v>
      </c>
      <c r="U7" s="60">
        <v>1623920.95</v>
      </c>
      <c r="V7" s="60">
        <f t="shared" ref="V7:V19" si="8">U7+T7</f>
        <v>2848984.12</v>
      </c>
      <c r="W7" s="60"/>
      <c r="X7" s="60">
        <v>442830</v>
      </c>
      <c r="Y7" s="60">
        <f t="shared" ref="Y7:Y19" si="9">X7+W7</f>
        <v>442830</v>
      </c>
      <c r="Z7" s="60"/>
      <c r="AA7" s="60"/>
      <c r="AB7" s="60">
        <f t="shared" ref="AB7:AB19" si="10">AA7+Z7</f>
        <v>0</v>
      </c>
      <c r="AC7" s="60">
        <v>207270</v>
      </c>
      <c r="AD7" s="60">
        <v>1413810</v>
      </c>
      <c r="AE7" s="60">
        <f t="shared" ref="AE7:AE19" si="11">AD7+AC7</f>
        <v>1621080</v>
      </c>
      <c r="AF7" s="60">
        <v>2545157</v>
      </c>
      <c r="AG7" s="60">
        <v>11520688</v>
      </c>
      <c r="AH7" s="60">
        <f t="shared" ref="AH7:AH19" si="12">AG7+AF7</f>
        <v>14065845</v>
      </c>
      <c r="AI7" s="60"/>
      <c r="AJ7" s="60"/>
      <c r="AK7" s="60">
        <f t="shared" ref="AK7:AK19" si="13">AJ7+AI7</f>
        <v>0</v>
      </c>
      <c r="AL7" s="60"/>
      <c r="AM7" s="60"/>
      <c r="AN7" s="60">
        <f t="shared" ref="AN7:AN19" si="14">AM7+AL7</f>
        <v>0</v>
      </c>
      <c r="AO7" s="60">
        <v>606716</v>
      </c>
      <c r="AP7" s="60">
        <v>2221084</v>
      </c>
      <c r="AQ7" s="60">
        <f t="shared" ref="AQ7:AQ19" si="15">AP7+AO7</f>
        <v>2827800</v>
      </c>
      <c r="AR7" s="60"/>
      <c r="AS7" s="60"/>
      <c r="AT7" s="60">
        <f t="shared" ref="AT7:AT19" si="16">AS7+AR7</f>
        <v>0</v>
      </c>
      <c r="AU7" s="60">
        <v>1315303</v>
      </c>
      <c r="AV7" s="60">
        <v>3193082</v>
      </c>
      <c r="AW7" s="60">
        <f t="shared" ref="AW7:AW19" si="17">AV7+AU7</f>
        <v>4508385</v>
      </c>
      <c r="AX7" s="60">
        <v>277206</v>
      </c>
      <c r="AY7" s="60">
        <v>1578377</v>
      </c>
      <c r="AZ7" s="60">
        <f t="shared" ref="AZ7:AZ19" si="18">AY7+AX7</f>
        <v>1855583</v>
      </c>
      <c r="BA7" s="60">
        <v>519988</v>
      </c>
      <c r="BB7" s="60">
        <v>929893</v>
      </c>
      <c r="BC7" s="60">
        <f t="shared" ref="BC7:BC19" si="19">BB7+BA7</f>
        <v>1449881</v>
      </c>
      <c r="BD7" s="60">
        <v>660699</v>
      </c>
      <c r="BE7" s="60">
        <v>459279</v>
      </c>
      <c r="BF7" s="60">
        <f t="shared" ref="BF7:BF19" si="20">BE7+BD7</f>
        <v>1119978</v>
      </c>
      <c r="BG7" s="60">
        <v>1466</v>
      </c>
      <c r="BH7" s="60">
        <v>276859</v>
      </c>
      <c r="BI7" s="60">
        <f t="shared" ref="BI7:BI19" si="21">BH7+BG7</f>
        <v>278325</v>
      </c>
      <c r="BJ7" s="60">
        <v>50701</v>
      </c>
      <c r="BK7" s="60">
        <v>465291</v>
      </c>
      <c r="BL7" s="60">
        <f t="shared" ref="BL7:BL19" si="22">BK7+BJ7</f>
        <v>515992</v>
      </c>
      <c r="BM7" s="60"/>
      <c r="BN7" s="60"/>
      <c r="BO7" s="60">
        <f t="shared" ref="BO7:BO19" si="23">BN7+BM7</f>
        <v>0</v>
      </c>
      <c r="BP7" s="60">
        <v>2991358</v>
      </c>
      <c r="BQ7" s="60">
        <v>13301677</v>
      </c>
      <c r="BR7" s="60">
        <f t="shared" si="1"/>
        <v>16293035</v>
      </c>
      <c r="BS7" s="60"/>
      <c r="BT7" s="60"/>
      <c r="BU7" s="60">
        <f t="shared" ref="BU7:BU19" si="24">BT7+BS7</f>
        <v>0</v>
      </c>
      <c r="BV7" s="60"/>
      <c r="BW7" s="60"/>
      <c r="BX7" s="60">
        <f t="shared" ref="BX7:BX19" si="25">BW7+BV7</f>
        <v>0</v>
      </c>
      <c r="BY7" s="60">
        <v>1320399</v>
      </c>
      <c r="BZ7" s="60">
        <v>9810756</v>
      </c>
      <c r="CA7" s="60">
        <f t="shared" ref="CA7:CA19" si="26">BZ7+BY7</f>
        <v>11131155</v>
      </c>
      <c r="CB7" s="60">
        <v>179965</v>
      </c>
      <c r="CC7" s="60"/>
      <c r="CD7" s="60">
        <f t="shared" si="2"/>
        <v>179965</v>
      </c>
      <c r="CE7" s="60">
        <v>3687310</v>
      </c>
      <c r="CF7" s="60">
        <v>6080066</v>
      </c>
      <c r="CG7" s="60">
        <f t="shared" ref="CG7:CG19" si="27">CF7+CE7</f>
        <v>9767376</v>
      </c>
      <c r="CH7" s="60"/>
      <c r="CI7" s="60"/>
      <c r="CJ7" s="60">
        <f t="shared" ref="CJ7:CJ19" si="28">CI7+CH7</f>
        <v>0</v>
      </c>
      <c r="CK7" s="60"/>
      <c r="CL7" s="60"/>
      <c r="CM7" s="60">
        <f t="shared" ref="CM7:CM19" si="29">CL7+CK7</f>
        <v>0</v>
      </c>
      <c r="CN7" s="60"/>
      <c r="CO7" s="60"/>
      <c r="CP7" s="60">
        <v>659310</v>
      </c>
      <c r="CQ7" s="60"/>
      <c r="CR7" s="60"/>
      <c r="CS7" s="60">
        <f t="shared" ref="CS7:CS17" si="30">CR7+CQ7</f>
        <v>0</v>
      </c>
      <c r="CT7" s="60">
        <v>13458</v>
      </c>
      <c r="CU7" s="60">
        <v>35065</v>
      </c>
      <c r="CV7" s="60">
        <f t="shared" si="3"/>
        <v>48523</v>
      </c>
    </row>
    <row r="8" spans="1:100" ht="15" customHeight="1" x14ac:dyDescent="0.25">
      <c r="A8" s="61" t="s">
        <v>183</v>
      </c>
      <c r="B8" s="60"/>
      <c r="C8" s="60"/>
      <c r="D8" s="60">
        <f t="shared" si="0"/>
        <v>0</v>
      </c>
      <c r="E8" s="60"/>
      <c r="F8" s="60"/>
      <c r="G8" s="60">
        <f t="shared" si="4"/>
        <v>0</v>
      </c>
      <c r="H8" s="60"/>
      <c r="I8" s="60"/>
      <c r="J8" s="60">
        <f t="shared" ref="J8:J17" si="31">I8+H8</f>
        <v>0</v>
      </c>
      <c r="K8" s="60"/>
      <c r="L8" s="60"/>
      <c r="M8" s="60">
        <f t="shared" si="5"/>
        <v>0</v>
      </c>
      <c r="N8" s="60"/>
      <c r="O8" s="60"/>
      <c r="P8" s="60">
        <f t="shared" si="6"/>
        <v>0</v>
      </c>
      <c r="Q8" s="60"/>
      <c r="R8" s="60"/>
      <c r="S8" s="60">
        <f t="shared" si="7"/>
        <v>0</v>
      </c>
      <c r="T8" s="60"/>
      <c r="U8" s="60"/>
      <c r="V8" s="60">
        <f t="shared" si="8"/>
        <v>0</v>
      </c>
      <c r="W8" s="60"/>
      <c r="X8" s="60"/>
      <c r="Y8" s="60">
        <f t="shared" si="9"/>
        <v>0</v>
      </c>
      <c r="Z8" s="60"/>
      <c r="AA8" s="60"/>
      <c r="AB8" s="60">
        <f t="shared" si="10"/>
        <v>0</v>
      </c>
      <c r="AC8" s="60"/>
      <c r="AD8" s="60"/>
      <c r="AE8" s="60">
        <f t="shared" si="11"/>
        <v>0</v>
      </c>
      <c r="AF8" s="60"/>
      <c r="AG8" s="60"/>
      <c r="AH8" s="60">
        <f t="shared" si="12"/>
        <v>0</v>
      </c>
      <c r="AI8" s="60"/>
      <c r="AJ8" s="60"/>
      <c r="AK8" s="60">
        <f t="shared" si="13"/>
        <v>0</v>
      </c>
      <c r="AL8" s="60"/>
      <c r="AM8" s="60"/>
      <c r="AN8" s="60">
        <f t="shared" si="14"/>
        <v>0</v>
      </c>
      <c r="AO8" s="60"/>
      <c r="AP8" s="60"/>
      <c r="AQ8" s="60">
        <f t="shared" si="15"/>
        <v>0</v>
      </c>
      <c r="AR8" s="60"/>
      <c r="AS8" s="60"/>
      <c r="AT8" s="60">
        <f t="shared" si="16"/>
        <v>0</v>
      </c>
      <c r="AU8" s="60"/>
      <c r="AV8" s="60"/>
      <c r="AW8" s="60">
        <f t="shared" si="17"/>
        <v>0</v>
      </c>
      <c r="AX8" s="60"/>
      <c r="AY8" s="60"/>
      <c r="AZ8" s="60">
        <f t="shared" si="18"/>
        <v>0</v>
      </c>
      <c r="BA8" s="60"/>
      <c r="BB8" s="60"/>
      <c r="BC8" s="60">
        <f t="shared" si="19"/>
        <v>0</v>
      </c>
      <c r="BD8" s="60"/>
      <c r="BE8" s="60"/>
      <c r="BF8" s="60">
        <f t="shared" si="20"/>
        <v>0</v>
      </c>
      <c r="BG8" s="60"/>
      <c r="BH8" s="60"/>
      <c r="BI8" s="60">
        <f t="shared" si="21"/>
        <v>0</v>
      </c>
      <c r="BJ8" s="60"/>
      <c r="BK8" s="60"/>
      <c r="BL8" s="60">
        <f t="shared" si="22"/>
        <v>0</v>
      </c>
      <c r="BM8" s="60"/>
      <c r="BN8" s="60"/>
      <c r="BO8" s="60">
        <f t="shared" si="23"/>
        <v>0</v>
      </c>
      <c r="BP8" s="60"/>
      <c r="BQ8" s="60"/>
      <c r="BR8" s="60">
        <f t="shared" si="1"/>
        <v>0</v>
      </c>
      <c r="BS8" s="60"/>
      <c r="BT8" s="60"/>
      <c r="BU8" s="60">
        <f t="shared" si="24"/>
        <v>0</v>
      </c>
      <c r="BV8" s="60"/>
      <c r="BW8" s="60"/>
      <c r="BX8" s="60">
        <f t="shared" si="25"/>
        <v>0</v>
      </c>
      <c r="BY8" s="60"/>
      <c r="BZ8" s="60"/>
      <c r="CA8" s="60">
        <f t="shared" si="26"/>
        <v>0</v>
      </c>
      <c r="CB8" s="60"/>
      <c r="CC8" s="60"/>
      <c r="CD8" s="60">
        <f t="shared" si="2"/>
        <v>0</v>
      </c>
      <c r="CE8" s="60"/>
      <c r="CF8" s="60"/>
      <c r="CG8" s="60">
        <f t="shared" si="27"/>
        <v>0</v>
      </c>
      <c r="CH8" s="60"/>
      <c r="CI8" s="60"/>
      <c r="CJ8" s="60">
        <f t="shared" si="28"/>
        <v>0</v>
      </c>
      <c r="CK8" s="60"/>
      <c r="CL8" s="60"/>
      <c r="CM8" s="60">
        <f t="shared" si="29"/>
        <v>0</v>
      </c>
      <c r="CN8" s="60"/>
      <c r="CO8" s="60"/>
      <c r="CP8" s="60">
        <f t="shared" ref="CP8:CP19" si="32">CO8+CN8</f>
        <v>0</v>
      </c>
      <c r="CQ8" s="60"/>
      <c r="CR8" s="60"/>
      <c r="CS8" s="60">
        <f t="shared" si="30"/>
        <v>0</v>
      </c>
      <c r="CT8" s="60"/>
      <c r="CU8" s="60"/>
      <c r="CV8" s="60">
        <f t="shared" si="3"/>
        <v>0</v>
      </c>
    </row>
    <row r="9" spans="1:100" ht="15" customHeight="1" x14ac:dyDescent="0.25">
      <c r="A9" s="61" t="s">
        <v>184</v>
      </c>
      <c r="B9" s="60"/>
      <c r="C9" s="60"/>
      <c r="D9" s="60">
        <f t="shared" si="0"/>
        <v>0</v>
      </c>
      <c r="E9" s="60"/>
      <c r="F9" s="60"/>
      <c r="G9" s="60">
        <f t="shared" si="4"/>
        <v>0</v>
      </c>
      <c r="H9" s="60"/>
      <c r="I9" s="60"/>
      <c r="J9" s="60">
        <f t="shared" si="31"/>
        <v>0</v>
      </c>
      <c r="K9" s="60"/>
      <c r="L9" s="60"/>
      <c r="M9" s="60">
        <f t="shared" si="5"/>
        <v>0</v>
      </c>
      <c r="N9" s="60"/>
      <c r="O9" s="60"/>
      <c r="P9" s="60">
        <f t="shared" si="6"/>
        <v>0</v>
      </c>
      <c r="Q9" s="60"/>
      <c r="R9" s="60"/>
      <c r="S9" s="60">
        <f t="shared" si="7"/>
        <v>0</v>
      </c>
      <c r="T9" s="60"/>
      <c r="U9" s="60"/>
      <c r="V9" s="60">
        <f t="shared" si="8"/>
        <v>0</v>
      </c>
      <c r="W9" s="60"/>
      <c r="X9" s="60"/>
      <c r="Y9" s="60">
        <f t="shared" si="9"/>
        <v>0</v>
      </c>
      <c r="Z9" s="60"/>
      <c r="AA9" s="60"/>
      <c r="AB9" s="60">
        <f t="shared" si="10"/>
        <v>0</v>
      </c>
      <c r="AC9" s="60"/>
      <c r="AD9" s="60"/>
      <c r="AE9" s="60">
        <f t="shared" si="11"/>
        <v>0</v>
      </c>
      <c r="AF9" s="60"/>
      <c r="AG9" s="60"/>
      <c r="AH9" s="60">
        <f t="shared" si="12"/>
        <v>0</v>
      </c>
      <c r="AI9" s="60"/>
      <c r="AJ9" s="60"/>
      <c r="AK9" s="60">
        <f t="shared" si="13"/>
        <v>0</v>
      </c>
      <c r="AL9" s="60"/>
      <c r="AM9" s="60"/>
      <c r="AN9" s="60">
        <f t="shared" si="14"/>
        <v>0</v>
      </c>
      <c r="AO9" s="60"/>
      <c r="AP9" s="60"/>
      <c r="AQ9" s="60">
        <f t="shared" si="15"/>
        <v>0</v>
      </c>
      <c r="AR9" s="60"/>
      <c r="AS9" s="60"/>
      <c r="AT9" s="60">
        <f t="shared" si="16"/>
        <v>0</v>
      </c>
      <c r="AU9" s="60"/>
      <c r="AV9" s="60"/>
      <c r="AW9" s="60">
        <f t="shared" si="17"/>
        <v>0</v>
      </c>
      <c r="AX9" s="60"/>
      <c r="AY9" s="60"/>
      <c r="AZ9" s="60">
        <f t="shared" si="18"/>
        <v>0</v>
      </c>
      <c r="BA9" s="60"/>
      <c r="BB9" s="60"/>
      <c r="BC9" s="60">
        <f t="shared" si="19"/>
        <v>0</v>
      </c>
      <c r="BD9" s="60"/>
      <c r="BE9" s="60"/>
      <c r="BF9" s="60">
        <f t="shared" si="20"/>
        <v>0</v>
      </c>
      <c r="BG9" s="60"/>
      <c r="BH9" s="60"/>
      <c r="BI9" s="60">
        <f t="shared" si="21"/>
        <v>0</v>
      </c>
      <c r="BJ9" s="60"/>
      <c r="BK9" s="60"/>
      <c r="BL9" s="60">
        <f t="shared" si="22"/>
        <v>0</v>
      </c>
      <c r="BM9" s="60"/>
      <c r="BN9" s="60"/>
      <c r="BO9" s="60">
        <f t="shared" si="23"/>
        <v>0</v>
      </c>
      <c r="BP9" s="60"/>
      <c r="BQ9" s="60"/>
      <c r="BR9" s="60">
        <f t="shared" si="1"/>
        <v>0</v>
      </c>
      <c r="BS9" s="60"/>
      <c r="BT9" s="60"/>
      <c r="BU9" s="60">
        <f t="shared" si="24"/>
        <v>0</v>
      </c>
      <c r="BV9" s="60"/>
      <c r="BW9" s="60"/>
      <c r="BX9" s="60">
        <f t="shared" si="25"/>
        <v>0</v>
      </c>
      <c r="BY9" s="60"/>
      <c r="BZ9" s="60"/>
      <c r="CA9" s="60">
        <f t="shared" si="26"/>
        <v>0</v>
      </c>
      <c r="CB9" s="60"/>
      <c r="CC9" s="60"/>
      <c r="CD9" s="60">
        <f t="shared" si="2"/>
        <v>0</v>
      </c>
      <c r="CE9" s="60"/>
      <c r="CF9" s="60"/>
      <c r="CG9" s="60">
        <f t="shared" si="27"/>
        <v>0</v>
      </c>
      <c r="CH9" s="60"/>
      <c r="CI9" s="60"/>
      <c r="CJ9" s="60">
        <f t="shared" si="28"/>
        <v>0</v>
      </c>
      <c r="CK9" s="60"/>
      <c r="CL9" s="60"/>
      <c r="CM9" s="60">
        <f t="shared" si="29"/>
        <v>0</v>
      </c>
      <c r="CN9" s="60"/>
      <c r="CO9" s="60"/>
      <c r="CP9" s="60">
        <f t="shared" si="32"/>
        <v>0</v>
      </c>
      <c r="CQ9" s="60"/>
      <c r="CR9" s="60"/>
      <c r="CS9" s="60">
        <f t="shared" si="30"/>
        <v>0</v>
      </c>
      <c r="CT9" s="60"/>
      <c r="CU9" s="60"/>
      <c r="CV9" s="60">
        <f t="shared" si="3"/>
        <v>0</v>
      </c>
    </row>
    <row r="10" spans="1:100" ht="15" customHeight="1" x14ac:dyDescent="0.25">
      <c r="A10" s="61" t="s">
        <v>185</v>
      </c>
      <c r="B10" s="60"/>
      <c r="C10" s="60"/>
      <c r="D10" s="60">
        <f t="shared" si="0"/>
        <v>0</v>
      </c>
      <c r="E10" s="60"/>
      <c r="F10" s="60"/>
      <c r="G10" s="60">
        <f t="shared" si="4"/>
        <v>0</v>
      </c>
      <c r="H10" s="60"/>
      <c r="I10" s="60"/>
      <c r="J10" s="60">
        <v>2525635</v>
      </c>
      <c r="K10" s="60">
        <v>4639691</v>
      </c>
      <c r="L10" s="60">
        <v>12247350</v>
      </c>
      <c r="M10" s="60">
        <f t="shared" si="5"/>
        <v>16887041</v>
      </c>
      <c r="N10" s="60">
        <v>316694</v>
      </c>
      <c r="O10" s="60">
        <v>1620270</v>
      </c>
      <c r="P10" s="60">
        <f t="shared" si="6"/>
        <v>1936964</v>
      </c>
      <c r="Q10" s="60">
        <v>83701</v>
      </c>
      <c r="R10" s="60">
        <v>706191</v>
      </c>
      <c r="S10" s="60">
        <f t="shared" si="7"/>
        <v>789892</v>
      </c>
      <c r="T10" s="60">
        <v>6507332</v>
      </c>
      <c r="U10" s="60">
        <v>8625998.2400000002</v>
      </c>
      <c r="V10" s="60">
        <f t="shared" si="8"/>
        <v>15133330.24</v>
      </c>
      <c r="W10" s="60"/>
      <c r="X10" s="60"/>
      <c r="Y10" s="60">
        <f t="shared" si="9"/>
        <v>0</v>
      </c>
      <c r="Z10" s="60">
        <v>2559</v>
      </c>
      <c r="AA10" s="60">
        <v>11483</v>
      </c>
      <c r="AB10" s="60">
        <f t="shared" si="10"/>
        <v>14042</v>
      </c>
      <c r="AC10" s="60">
        <v>1311834</v>
      </c>
      <c r="AD10" s="60">
        <v>1133541</v>
      </c>
      <c r="AE10" s="60">
        <f t="shared" si="11"/>
        <v>2445375</v>
      </c>
      <c r="AF10" s="60">
        <v>458238</v>
      </c>
      <c r="AG10" s="60">
        <v>2074220</v>
      </c>
      <c r="AH10" s="60">
        <f t="shared" si="12"/>
        <v>2532458</v>
      </c>
      <c r="AI10" s="60"/>
      <c r="AJ10" s="60"/>
      <c r="AK10" s="60">
        <f t="shared" si="13"/>
        <v>0</v>
      </c>
      <c r="AL10" s="60">
        <v>6152536</v>
      </c>
      <c r="AM10" s="60">
        <v>20281171</v>
      </c>
      <c r="AN10" s="60">
        <f t="shared" si="14"/>
        <v>26433707</v>
      </c>
      <c r="AO10" s="60">
        <v>4353</v>
      </c>
      <c r="AP10" s="60">
        <v>15936</v>
      </c>
      <c r="AQ10" s="60">
        <f t="shared" si="15"/>
        <v>20289</v>
      </c>
      <c r="AR10" s="60"/>
      <c r="AS10" s="60"/>
      <c r="AT10" s="60">
        <f t="shared" si="16"/>
        <v>0</v>
      </c>
      <c r="AU10" s="60"/>
      <c r="AV10" s="60"/>
      <c r="AW10" s="60">
        <f t="shared" si="17"/>
        <v>0</v>
      </c>
      <c r="AX10" s="60"/>
      <c r="AY10" s="60"/>
      <c r="AZ10" s="60">
        <f t="shared" si="18"/>
        <v>0</v>
      </c>
      <c r="BA10" s="60"/>
      <c r="BB10" s="60"/>
      <c r="BC10" s="60">
        <f t="shared" si="19"/>
        <v>0</v>
      </c>
      <c r="BD10" s="60"/>
      <c r="BE10" s="60"/>
      <c r="BF10" s="60">
        <f t="shared" si="20"/>
        <v>0</v>
      </c>
      <c r="BG10" s="60">
        <v>455985</v>
      </c>
      <c r="BH10" s="60">
        <v>86096714</v>
      </c>
      <c r="BI10" s="60">
        <f t="shared" si="21"/>
        <v>86552699</v>
      </c>
      <c r="BJ10" s="60"/>
      <c r="BK10" s="60"/>
      <c r="BL10" s="60">
        <f t="shared" si="22"/>
        <v>0</v>
      </c>
      <c r="BM10" s="60"/>
      <c r="BN10" s="60"/>
      <c r="BO10" s="60">
        <f t="shared" si="23"/>
        <v>0</v>
      </c>
      <c r="BP10" s="60"/>
      <c r="BQ10" s="60"/>
      <c r="BR10" s="60">
        <f t="shared" si="1"/>
        <v>0</v>
      </c>
      <c r="BS10" s="60"/>
      <c r="BT10" s="60"/>
      <c r="BU10" s="60">
        <f t="shared" si="24"/>
        <v>0</v>
      </c>
      <c r="BV10" s="60">
        <v>49033</v>
      </c>
      <c r="BW10" s="60">
        <v>243522</v>
      </c>
      <c r="BX10" s="60">
        <f t="shared" si="25"/>
        <v>292555</v>
      </c>
      <c r="BY10" s="60">
        <v>3548288</v>
      </c>
      <c r="BZ10" s="60"/>
      <c r="CA10" s="60">
        <f t="shared" si="26"/>
        <v>3548288</v>
      </c>
      <c r="CB10" s="60">
        <v>958572</v>
      </c>
      <c r="CC10" s="60"/>
      <c r="CD10" s="60">
        <f t="shared" si="2"/>
        <v>958572</v>
      </c>
      <c r="CE10" s="60"/>
      <c r="CF10" s="60"/>
      <c r="CG10" s="60">
        <f t="shared" si="27"/>
        <v>0</v>
      </c>
      <c r="CH10" s="60">
        <v>1801957</v>
      </c>
      <c r="CI10" s="60">
        <v>7631218</v>
      </c>
      <c r="CJ10" s="60">
        <f t="shared" si="28"/>
        <v>9433175</v>
      </c>
      <c r="CK10" s="60">
        <v>60204682</v>
      </c>
      <c r="CL10" s="60">
        <v>140524783</v>
      </c>
      <c r="CM10" s="60">
        <f t="shared" si="29"/>
        <v>200729465</v>
      </c>
      <c r="CN10" s="60"/>
      <c r="CO10" s="60"/>
      <c r="CP10" s="60">
        <v>55587440</v>
      </c>
      <c r="CQ10" s="60"/>
      <c r="CR10" s="60"/>
      <c r="CS10" s="60">
        <v>62282583</v>
      </c>
      <c r="CT10" s="60"/>
      <c r="CU10" s="60"/>
      <c r="CV10" s="60">
        <f t="shared" si="3"/>
        <v>0</v>
      </c>
    </row>
    <row r="11" spans="1:100" ht="15" customHeight="1" x14ac:dyDescent="0.25">
      <c r="A11" s="61" t="s">
        <v>186</v>
      </c>
      <c r="B11" s="60"/>
      <c r="C11" s="60"/>
      <c r="D11" s="60">
        <f t="shared" si="0"/>
        <v>0</v>
      </c>
      <c r="E11" s="60"/>
      <c r="F11" s="60"/>
      <c r="G11" s="60">
        <f t="shared" si="4"/>
        <v>0</v>
      </c>
      <c r="H11" s="60"/>
      <c r="I11" s="60"/>
      <c r="J11" s="60">
        <f t="shared" si="31"/>
        <v>0</v>
      </c>
      <c r="K11" s="60"/>
      <c r="L11" s="60">
        <v>329795</v>
      </c>
      <c r="M11" s="60">
        <f t="shared" si="5"/>
        <v>329795</v>
      </c>
      <c r="N11" s="60"/>
      <c r="O11" s="60"/>
      <c r="P11" s="60">
        <f t="shared" si="6"/>
        <v>0</v>
      </c>
      <c r="Q11" s="60"/>
      <c r="R11" s="60"/>
      <c r="S11" s="60">
        <f t="shared" si="7"/>
        <v>0</v>
      </c>
      <c r="T11" s="60"/>
      <c r="U11" s="60"/>
      <c r="V11" s="60">
        <f t="shared" si="8"/>
        <v>0</v>
      </c>
      <c r="W11" s="60">
        <v>7246</v>
      </c>
      <c r="X11" s="60"/>
      <c r="Y11" s="60">
        <f t="shared" si="9"/>
        <v>7246</v>
      </c>
      <c r="Z11" s="60"/>
      <c r="AA11" s="60"/>
      <c r="AB11" s="60">
        <f t="shared" si="10"/>
        <v>0</v>
      </c>
      <c r="AC11" s="60"/>
      <c r="AD11" s="60"/>
      <c r="AE11" s="60">
        <f t="shared" si="11"/>
        <v>0</v>
      </c>
      <c r="AF11" s="60">
        <v>6101</v>
      </c>
      <c r="AG11" s="60">
        <v>27618</v>
      </c>
      <c r="AH11" s="60">
        <f t="shared" si="12"/>
        <v>33719</v>
      </c>
      <c r="AI11" s="60"/>
      <c r="AJ11" s="60"/>
      <c r="AK11" s="60">
        <f t="shared" si="13"/>
        <v>0</v>
      </c>
      <c r="AL11" s="60">
        <v>82969</v>
      </c>
      <c r="AM11" s="60">
        <v>273497</v>
      </c>
      <c r="AN11" s="60">
        <f t="shared" si="14"/>
        <v>356466</v>
      </c>
      <c r="AO11" s="60"/>
      <c r="AP11" s="60"/>
      <c r="AQ11" s="60">
        <f t="shared" si="15"/>
        <v>0</v>
      </c>
      <c r="AR11" s="60"/>
      <c r="AS11" s="60"/>
      <c r="AT11" s="60">
        <f t="shared" si="16"/>
        <v>0</v>
      </c>
      <c r="AU11" s="60"/>
      <c r="AV11" s="60"/>
      <c r="AW11" s="60">
        <f t="shared" si="17"/>
        <v>0</v>
      </c>
      <c r="AX11" s="60">
        <v>2863</v>
      </c>
      <c r="AY11" s="60">
        <v>16304</v>
      </c>
      <c r="AZ11" s="60">
        <f t="shared" si="18"/>
        <v>19167</v>
      </c>
      <c r="BA11" s="60"/>
      <c r="BB11" s="60"/>
      <c r="BC11" s="60">
        <f t="shared" si="19"/>
        <v>0</v>
      </c>
      <c r="BD11" s="60"/>
      <c r="BE11" s="60"/>
      <c r="BF11" s="60">
        <f t="shared" si="20"/>
        <v>0</v>
      </c>
      <c r="BG11" s="60">
        <v>15</v>
      </c>
      <c r="BH11" s="60">
        <v>2788</v>
      </c>
      <c r="BI11" s="60">
        <f t="shared" si="21"/>
        <v>2803</v>
      </c>
      <c r="BJ11" s="60"/>
      <c r="BK11" s="60"/>
      <c r="BL11" s="60">
        <f t="shared" si="22"/>
        <v>0</v>
      </c>
      <c r="BM11" s="60"/>
      <c r="BN11" s="60"/>
      <c r="BO11" s="60">
        <f t="shared" si="23"/>
        <v>0</v>
      </c>
      <c r="BP11" s="60"/>
      <c r="BQ11" s="60"/>
      <c r="BR11" s="60">
        <f t="shared" si="1"/>
        <v>0</v>
      </c>
      <c r="BS11" s="60"/>
      <c r="BT11" s="60"/>
      <c r="BU11" s="60">
        <f t="shared" si="24"/>
        <v>0</v>
      </c>
      <c r="BV11" s="60"/>
      <c r="BW11" s="60"/>
      <c r="BX11" s="60">
        <f t="shared" si="25"/>
        <v>0</v>
      </c>
      <c r="BY11" s="60"/>
      <c r="BZ11" s="60"/>
      <c r="CA11" s="60">
        <f t="shared" si="26"/>
        <v>0</v>
      </c>
      <c r="CB11" s="60"/>
      <c r="CC11" s="60"/>
      <c r="CD11" s="60">
        <f t="shared" si="2"/>
        <v>0</v>
      </c>
      <c r="CE11" s="60"/>
      <c r="CF11" s="60"/>
      <c r="CG11" s="60">
        <f t="shared" si="27"/>
        <v>0</v>
      </c>
      <c r="CH11" s="60"/>
      <c r="CI11" s="60"/>
      <c r="CJ11" s="60">
        <f t="shared" si="28"/>
        <v>0</v>
      </c>
      <c r="CK11" s="60"/>
      <c r="CL11" s="60"/>
      <c r="CM11" s="60">
        <f t="shared" si="29"/>
        <v>0</v>
      </c>
      <c r="CN11" s="60"/>
      <c r="CO11" s="60"/>
      <c r="CP11" s="60">
        <v>13235</v>
      </c>
      <c r="CQ11" s="60"/>
      <c r="CR11" s="60"/>
      <c r="CS11" s="60">
        <f t="shared" si="30"/>
        <v>0</v>
      </c>
      <c r="CT11" s="60"/>
      <c r="CU11" s="60"/>
      <c r="CV11" s="60">
        <f t="shared" si="3"/>
        <v>0</v>
      </c>
    </row>
    <row r="12" spans="1:100" ht="15" customHeight="1" x14ac:dyDescent="0.25">
      <c r="A12" s="61" t="s">
        <v>187</v>
      </c>
      <c r="B12" s="60"/>
      <c r="C12" s="60"/>
      <c r="D12" s="60">
        <f t="shared" si="0"/>
        <v>0</v>
      </c>
      <c r="E12" s="60"/>
      <c r="F12" s="60"/>
      <c r="G12" s="60">
        <f t="shared" si="4"/>
        <v>0</v>
      </c>
      <c r="H12" s="60"/>
      <c r="I12" s="60"/>
      <c r="J12" s="60">
        <f t="shared" si="31"/>
        <v>0</v>
      </c>
      <c r="K12" s="60"/>
      <c r="L12" s="60"/>
      <c r="M12" s="60">
        <f t="shared" si="5"/>
        <v>0</v>
      </c>
      <c r="N12" s="60"/>
      <c r="O12" s="60"/>
      <c r="P12" s="60">
        <f t="shared" si="6"/>
        <v>0</v>
      </c>
      <c r="Q12" s="60"/>
      <c r="R12" s="60"/>
      <c r="S12" s="60">
        <f t="shared" si="7"/>
        <v>0</v>
      </c>
      <c r="T12" s="60"/>
      <c r="U12" s="60"/>
      <c r="V12" s="60">
        <f t="shared" si="8"/>
        <v>0</v>
      </c>
      <c r="W12" s="60"/>
      <c r="X12" s="60"/>
      <c r="Y12" s="60">
        <f t="shared" si="9"/>
        <v>0</v>
      </c>
      <c r="Z12" s="60"/>
      <c r="AA12" s="60"/>
      <c r="AB12" s="60">
        <f t="shared" si="10"/>
        <v>0</v>
      </c>
      <c r="AC12" s="60"/>
      <c r="AD12" s="60"/>
      <c r="AE12" s="60">
        <f t="shared" si="11"/>
        <v>0</v>
      </c>
      <c r="AF12" s="60">
        <v>17433</v>
      </c>
      <c r="AG12" s="60">
        <v>78911</v>
      </c>
      <c r="AH12" s="60">
        <f t="shared" si="12"/>
        <v>96344</v>
      </c>
      <c r="AI12" s="60"/>
      <c r="AJ12" s="60"/>
      <c r="AK12" s="60">
        <f t="shared" si="13"/>
        <v>0</v>
      </c>
      <c r="AL12" s="60"/>
      <c r="AM12" s="60"/>
      <c r="AN12" s="60">
        <f t="shared" si="14"/>
        <v>0</v>
      </c>
      <c r="AO12" s="60"/>
      <c r="AP12" s="60"/>
      <c r="AQ12" s="60">
        <f t="shared" si="15"/>
        <v>0</v>
      </c>
      <c r="AR12" s="60"/>
      <c r="AS12" s="60"/>
      <c r="AT12" s="60">
        <f t="shared" si="16"/>
        <v>0</v>
      </c>
      <c r="AU12" s="60"/>
      <c r="AV12" s="60"/>
      <c r="AW12" s="60">
        <f t="shared" si="17"/>
        <v>0</v>
      </c>
      <c r="AX12" s="60"/>
      <c r="AY12" s="60"/>
      <c r="AZ12" s="60">
        <f t="shared" si="18"/>
        <v>0</v>
      </c>
      <c r="BA12" s="60"/>
      <c r="BB12" s="60"/>
      <c r="BC12" s="60">
        <f t="shared" si="19"/>
        <v>0</v>
      </c>
      <c r="BD12" s="60"/>
      <c r="BE12" s="60"/>
      <c r="BF12" s="60">
        <f t="shared" si="20"/>
        <v>0</v>
      </c>
      <c r="BG12" s="60">
        <v>2107</v>
      </c>
      <c r="BH12" s="60">
        <v>397828</v>
      </c>
      <c r="BI12" s="60">
        <f t="shared" si="21"/>
        <v>399935</v>
      </c>
      <c r="BJ12" s="60"/>
      <c r="BK12" s="60"/>
      <c r="BL12" s="60">
        <f t="shared" si="22"/>
        <v>0</v>
      </c>
      <c r="BM12" s="60"/>
      <c r="BN12" s="60"/>
      <c r="BO12" s="60">
        <f t="shared" si="23"/>
        <v>0</v>
      </c>
      <c r="BP12" s="60"/>
      <c r="BQ12" s="60"/>
      <c r="BR12" s="60">
        <f t="shared" si="1"/>
        <v>0</v>
      </c>
      <c r="BS12" s="60"/>
      <c r="BT12" s="60"/>
      <c r="BU12" s="60">
        <f t="shared" si="24"/>
        <v>0</v>
      </c>
      <c r="BV12" s="60"/>
      <c r="BW12" s="60"/>
      <c r="BX12" s="60">
        <f t="shared" si="25"/>
        <v>0</v>
      </c>
      <c r="BY12" s="60"/>
      <c r="BZ12" s="60"/>
      <c r="CA12" s="60">
        <f t="shared" si="26"/>
        <v>0</v>
      </c>
      <c r="CB12" s="60"/>
      <c r="CC12" s="60"/>
      <c r="CD12" s="60">
        <f t="shared" si="2"/>
        <v>0</v>
      </c>
      <c r="CE12" s="60"/>
      <c r="CF12" s="60"/>
      <c r="CG12" s="60">
        <f t="shared" si="27"/>
        <v>0</v>
      </c>
      <c r="CH12" s="60"/>
      <c r="CI12" s="60"/>
      <c r="CJ12" s="60">
        <f t="shared" si="28"/>
        <v>0</v>
      </c>
      <c r="CK12" s="60">
        <v>324865</v>
      </c>
      <c r="CL12" s="60">
        <v>759213</v>
      </c>
      <c r="CM12" s="60">
        <f t="shared" si="29"/>
        <v>1084078</v>
      </c>
      <c r="CN12" s="60"/>
      <c r="CO12" s="60"/>
      <c r="CP12" s="60">
        <v>628442</v>
      </c>
      <c r="CQ12" s="60"/>
      <c r="CR12" s="60"/>
      <c r="CS12" s="60">
        <f t="shared" si="30"/>
        <v>0</v>
      </c>
      <c r="CT12" s="60"/>
      <c r="CU12" s="60"/>
      <c r="CV12" s="60">
        <f t="shared" si="3"/>
        <v>0</v>
      </c>
    </row>
    <row r="13" spans="1:100" ht="15" customHeight="1" x14ac:dyDescent="0.25">
      <c r="A13" s="61" t="s">
        <v>188</v>
      </c>
      <c r="B13" s="60">
        <v>61372</v>
      </c>
      <c r="C13" s="60">
        <v>118238</v>
      </c>
      <c r="D13" s="60">
        <f t="shared" si="0"/>
        <v>179610</v>
      </c>
      <c r="E13" s="60">
        <v>102669</v>
      </c>
      <c r="F13" s="60">
        <v>952086</v>
      </c>
      <c r="G13" s="60">
        <f t="shared" si="4"/>
        <v>1054755</v>
      </c>
      <c r="H13" s="60"/>
      <c r="I13" s="60"/>
      <c r="J13" s="60">
        <v>9343774</v>
      </c>
      <c r="K13" s="60">
        <v>1883490</v>
      </c>
      <c r="L13" s="60">
        <v>26036087</v>
      </c>
      <c r="M13" s="60">
        <f t="shared" si="5"/>
        <v>27919577</v>
      </c>
      <c r="N13" s="60">
        <v>975638</v>
      </c>
      <c r="O13" s="60">
        <v>4991569</v>
      </c>
      <c r="P13" s="60">
        <f t="shared" si="6"/>
        <v>5967207</v>
      </c>
      <c r="Q13" s="60">
        <v>800677</v>
      </c>
      <c r="R13" s="60">
        <v>6755348</v>
      </c>
      <c r="S13" s="60">
        <f t="shared" si="7"/>
        <v>7556025</v>
      </c>
      <c r="T13" s="60">
        <f>4067519.79+2548085.43</f>
        <v>6615605.2200000007</v>
      </c>
      <c r="U13" s="60">
        <f>5391828.55+3377694.64</f>
        <v>8769523.1899999995</v>
      </c>
      <c r="V13" s="60">
        <f t="shared" si="8"/>
        <v>15385128.41</v>
      </c>
      <c r="W13" s="60">
        <v>106199</v>
      </c>
      <c r="X13" s="60">
        <v>149963</v>
      </c>
      <c r="Y13" s="60">
        <f t="shared" si="9"/>
        <v>256162</v>
      </c>
      <c r="Z13" s="60">
        <v>1582728</v>
      </c>
      <c r="AA13" s="60">
        <v>7103088</v>
      </c>
      <c r="AB13" s="60">
        <f t="shared" si="10"/>
        <v>8685816</v>
      </c>
      <c r="AC13" s="60"/>
      <c r="AD13" s="60">
        <v>3123203</v>
      </c>
      <c r="AE13" s="60">
        <f t="shared" si="11"/>
        <v>3123203</v>
      </c>
      <c r="AF13" s="60">
        <v>3120813</v>
      </c>
      <c r="AG13" s="60">
        <v>14126400</v>
      </c>
      <c r="AH13" s="60">
        <f t="shared" si="12"/>
        <v>17247213</v>
      </c>
      <c r="AI13" s="60">
        <v>927513</v>
      </c>
      <c r="AJ13" s="60">
        <v>2907202</v>
      </c>
      <c r="AK13" s="60">
        <f t="shared" si="13"/>
        <v>3834715</v>
      </c>
      <c r="AL13" s="60">
        <v>11294878</v>
      </c>
      <c r="AM13" s="60">
        <v>37232346</v>
      </c>
      <c r="AN13" s="60">
        <f t="shared" si="14"/>
        <v>48527224</v>
      </c>
      <c r="AO13" s="60">
        <v>2839622</v>
      </c>
      <c r="AP13" s="60">
        <v>10395376</v>
      </c>
      <c r="AQ13" s="60">
        <f t="shared" si="15"/>
        <v>13234998</v>
      </c>
      <c r="AR13" s="60">
        <v>201165</v>
      </c>
      <c r="AS13" s="60">
        <v>666165</v>
      </c>
      <c r="AT13" s="60">
        <f t="shared" si="16"/>
        <v>867330</v>
      </c>
      <c r="AU13" s="60">
        <v>2646911</v>
      </c>
      <c r="AV13" s="60">
        <v>6425748</v>
      </c>
      <c r="AW13" s="60">
        <f t="shared" si="17"/>
        <v>9072659</v>
      </c>
      <c r="AX13" s="60">
        <v>394336</v>
      </c>
      <c r="AY13" s="60">
        <v>2245301</v>
      </c>
      <c r="AZ13" s="60">
        <f t="shared" si="18"/>
        <v>2639637</v>
      </c>
      <c r="BA13" s="60">
        <v>354241</v>
      </c>
      <c r="BB13" s="60">
        <v>832325</v>
      </c>
      <c r="BC13" s="60">
        <f t="shared" si="19"/>
        <v>1186566</v>
      </c>
      <c r="BD13" s="60">
        <v>553870</v>
      </c>
      <c r="BE13" s="60">
        <v>1764172</v>
      </c>
      <c r="BF13" s="60">
        <f t="shared" si="20"/>
        <v>2318042</v>
      </c>
      <c r="BG13" s="60">
        <v>151649</v>
      </c>
      <c r="BH13" s="60">
        <v>28633524</v>
      </c>
      <c r="BI13" s="60">
        <f t="shared" si="21"/>
        <v>28785173</v>
      </c>
      <c r="BJ13" s="60">
        <v>1161079</v>
      </c>
      <c r="BK13" s="60">
        <v>402008</v>
      </c>
      <c r="BL13" s="60">
        <f t="shared" si="22"/>
        <v>1563087</v>
      </c>
      <c r="BM13" s="60"/>
      <c r="BN13" s="60"/>
      <c r="BO13" s="60">
        <f t="shared" si="23"/>
        <v>0</v>
      </c>
      <c r="BP13" s="60">
        <v>7770500</v>
      </c>
      <c r="BQ13" s="60">
        <v>34553098</v>
      </c>
      <c r="BR13" s="60">
        <f t="shared" si="1"/>
        <v>42323598</v>
      </c>
      <c r="BS13" s="60">
        <v>331479</v>
      </c>
      <c r="BT13" s="60">
        <v>628494</v>
      </c>
      <c r="BU13" s="60">
        <f t="shared" si="24"/>
        <v>959973</v>
      </c>
      <c r="BV13" s="60">
        <v>2083901</v>
      </c>
      <c r="BW13" s="60">
        <v>10349556</v>
      </c>
      <c r="BX13" s="60">
        <f t="shared" si="25"/>
        <v>12433457</v>
      </c>
      <c r="BY13" s="60">
        <v>3379169</v>
      </c>
      <c r="BZ13" s="60">
        <v>7662342</v>
      </c>
      <c r="CA13" s="60">
        <f t="shared" si="26"/>
        <v>11041511</v>
      </c>
      <c r="CB13" s="60">
        <v>281626</v>
      </c>
      <c r="CC13" s="60">
        <v>2475953</v>
      </c>
      <c r="CD13" s="60">
        <f t="shared" si="2"/>
        <v>2757579</v>
      </c>
      <c r="CE13" s="60"/>
      <c r="CF13" s="60"/>
      <c r="CG13" s="60">
        <f t="shared" si="27"/>
        <v>0</v>
      </c>
      <c r="CH13" s="60">
        <v>6807975</v>
      </c>
      <c r="CI13" s="60">
        <v>28831513</v>
      </c>
      <c r="CJ13" s="60">
        <f t="shared" si="28"/>
        <v>35639488</v>
      </c>
      <c r="CK13" s="60">
        <v>7637979</v>
      </c>
      <c r="CL13" s="60">
        <v>17761894</v>
      </c>
      <c r="CM13" s="60">
        <f t="shared" si="29"/>
        <v>25399873</v>
      </c>
      <c r="CN13" s="60"/>
      <c r="CO13" s="60"/>
      <c r="CP13" s="60">
        <v>7831304</v>
      </c>
      <c r="CQ13" s="60"/>
      <c r="CR13" s="60"/>
      <c r="CS13" s="60">
        <v>19326398</v>
      </c>
      <c r="CT13" s="60">
        <v>1902530</v>
      </c>
      <c r="CU13" s="60">
        <v>4956955</v>
      </c>
      <c r="CV13" s="60">
        <f t="shared" si="3"/>
        <v>6859485</v>
      </c>
    </row>
    <row r="14" spans="1:100" ht="15" customHeight="1" x14ac:dyDescent="0.25">
      <c r="A14" s="61" t="s">
        <v>189</v>
      </c>
      <c r="B14" s="60"/>
      <c r="C14" s="60"/>
      <c r="D14" s="60">
        <f t="shared" si="0"/>
        <v>0</v>
      </c>
      <c r="E14" s="60"/>
      <c r="F14" s="60"/>
      <c r="G14" s="60">
        <f t="shared" si="4"/>
        <v>0</v>
      </c>
      <c r="H14" s="60"/>
      <c r="I14" s="60"/>
      <c r="J14" s="60">
        <f t="shared" si="31"/>
        <v>0</v>
      </c>
      <c r="K14" s="60"/>
      <c r="L14" s="60"/>
      <c r="M14" s="60">
        <f t="shared" si="5"/>
        <v>0</v>
      </c>
      <c r="N14" s="60"/>
      <c r="O14" s="60"/>
      <c r="P14" s="60">
        <f t="shared" si="6"/>
        <v>0</v>
      </c>
      <c r="Q14" s="60"/>
      <c r="R14" s="60"/>
      <c r="S14" s="60">
        <f t="shared" si="7"/>
        <v>0</v>
      </c>
      <c r="T14" s="60"/>
      <c r="U14" s="60"/>
      <c r="V14" s="60">
        <f t="shared" si="8"/>
        <v>0</v>
      </c>
      <c r="W14" s="60">
        <v>58500</v>
      </c>
      <c r="X14" s="60">
        <v>97500</v>
      </c>
      <c r="Y14" s="60">
        <f t="shared" si="9"/>
        <v>156000</v>
      </c>
      <c r="Z14" s="60"/>
      <c r="AA14" s="60"/>
      <c r="AB14" s="60">
        <f t="shared" si="10"/>
        <v>0</v>
      </c>
      <c r="AC14" s="60"/>
      <c r="AD14" s="60"/>
      <c r="AE14" s="60">
        <f t="shared" si="11"/>
        <v>0</v>
      </c>
      <c r="AF14" s="60">
        <v>27884</v>
      </c>
      <c r="AG14" s="60">
        <v>126216</v>
      </c>
      <c r="AH14" s="60">
        <f t="shared" si="12"/>
        <v>154100</v>
      </c>
      <c r="AI14" s="60"/>
      <c r="AJ14" s="60"/>
      <c r="AK14" s="60">
        <f t="shared" si="13"/>
        <v>0</v>
      </c>
      <c r="AL14" s="60">
        <v>3574344</v>
      </c>
      <c r="AM14" s="60">
        <v>11032510</v>
      </c>
      <c r="AN14" s="60">
        <f t="shared" si="14"/>
        <v>14606854</v>
      </c>
      <c r="AO14" s="60"/>
      <c r="AP14" s="60"/>
      <c r="AQ14" s="60">
        <f t="shared" si="15"/>
        <v>0</v>
      </c>
      <c r="AR14" s="60"/>
      <c r="AS14" s="60"/>
      <c r="AT14" s="60">
        <f>AS14+AR14</f>
        <v>0</v>
      </c>
      <c r="AU14" s="60"/>
      <c r="AV14" s="60"/>
      <c r="AW14" s="60">
        <f t="shared" si="17"/>
        <v>0</v>
      </c>
      <c r="AX14" s="60"/>
      <c r="AY14" s="60"/>
      <c r="AZ14" s="60">
        <f t="shared" si="18"/>
        <v>0</v>
      </c>
      <c r="BA14" s="60"/>
      <c r="BB14" s="60"/>
      <c r="BC14" s="60">
        <f t="shared" si="19"/>
        <v>0</v>
      </c>
      <c r="BD14" s="60"/>
      <c r="BE14" s="60"/>
      <c r="BF14" s="60">
        <f t="shared" si="20"/>
        <v>0</v>
      </c>
      <c r="BG14" s="60">
        <v>5751</v>
      </c>
      <c r="BH14" s="60">
        <v>1085907</v>
      </c>
      <c r="BI14" s="60">
        <f t="shared" si="21"/>
        <v>1091658</v>
      </c>
      <c r="BJ14" s="60"/>
      <c r="BK14" s="60"/>
      <c r="BL14" s="60">
        <f t="shared" si="22"/>
        <v>0</v>
      </c>
      <c r="BM14" s="60"/>
      <c r="BN14" s="60"/>
      <c r="BO14" s="60">
        <f t="shared" si="23"/>
        <v>0</v>
      </c>
      <c r="BP14" s="60"/>
      <c r="BQ14" s="60"/>
      <c r="BR14" s="60">
        <f t="shared" si="1"/>
        <v>0</v>
      </c>
      <c r="BS14" s="60">
        <v>1059</v>
      </c>
      <c r="BT14" s="60">
        <v>2008</v>
      </c>
      <c r="BU14" s="60">
        <f t="shared" si="24"/>
        <v>3067</v>
      </c>
      <c r="BV14" s="60"/>
      <c r="BW14" s="60"/>
      <c r="BX14" s="60">
        <f t="shared" si="25"/>
        <v>0</v>
      </c>
      <c r="BY14" s="60">
        <f>19900+203615+111357</f>
        <v>334872</v>
      </c>
      <c r="BZ14" s="60">
        <v>492256</v>
      </c>
      <c r="CA14" s="60">
        <f t="shared" si="26"/>
        <v>827128</v>
      </c>
      <c r="CB14" s="60"/>
      <c r="CC14" s="60"/>
      <c r="CD14" s="60">
        <f t="shared" si="2"/>
        <v>0</v>
      </c>
      <c r="CE14" s="60"/>
      <c r="CF14" s="60"/>
      <c r="CG14" s="60">
        <f t="shared" si="27"/>
        <v>0</v>
      </c>
      <c r="CH14" s="60">
        <v>53703</v>
      </c>
      <c r="CI14" s="60"/>
      <c r="CJ14" s="60">
        <f t="shared" si="28"/>
        <v>53703</v>
      </c>
      <c r="CK14" s="60">
        <v>518943</v>
      </c>
      <c r="CL14" s="60"/>
      <c r="CM14" s="60">
        <f t="shared" si="29"/>
        <v>518943</v>
      </c>
      <c r="CN14" s="60"/>
      <c r="CO14" s="60"/>
      <c r="CP14" s="60">
        <f>2151978+372119</f>
        <v>2524097</v>
      </c>
      <c r="CQ14" s="60"/>
      <c r="CR14" s="60"/>
      <c r="CS14" s="60">
        <f t="shared" si="30"/>
        <v>0</v>
      </c>
      <c r="CT14" s="60"/>
      <c r="CU14" s="60"/>
      <c r="CV14" s="60">
        <f t="shared" si="3"/>
        <v>0</v>
      </c>
    </row>
    <row r="15" spans="1:100" ht="15" customHeight="1" x14ac:dyDescent="0.25">
      <c r="A15" s="61" t="s">
        <v>190</v>
      </c>
      <c r="B15" s="60"/>
      <c r="C15" s="60"/>
      <c r="D15" s="60">
        <f t="shared" si="0"/>
        <v>0</v>
      </c>
      <c r="E15" s="60"/>
      <c r="F15" s="60"/>
      <c r="G15" s="60">
        <f t="shared" si="4"/>
        <v>0</v>
      </c>
      <c r="H15" s="60"/>
      <c r="I15" s="60"/>
      <c r="J15" s="60">
        <f t="shared" si="31"/>
        <v>0</v>
      </c>
      <c r="K15" s="60"/>
      <c r="L15" s="60"/>
      <c r="M15" s="60">
        <f t="shared" si="5"/>
        <v>0</v>
      </c>
      <c r="N15" s="60"/>
      <c r="O15" s="60"/>
      <c r="P15" s="60">
        <f t="shared" si="6"/>
        <v>0</v>
      </c>
      <c r="Q15" s="60"/>
      <c r="R15" s="60"/>
      <c r="S15" s="60">
        <f t="shared" si="7"/>
        <v>0</v>
      </c>
      <c r="T15" s="60"/>
      <c r="U15" s="60"/>
      <c r="V15" s="60">
        <f t="shared" si="8"/>
        <v>0</v>
      </c>
      <c r="W15" s="60"/>
      <c r="X15" s="60"/>
      <c r="Y15" s="60">
        <f t="shared" si="9"/>
        <v>0</v>
      </c>
      <c r="Z15" s="60"/>
      <c r="AA15" s="60"/>
      <c r="AB15" s="60">
        <f t="shared" si="10"/>
        <v>0</v>
      </c>
      <c r="AC15" s="60"/>
      <c r="AD15" s="60"/>
      <c r="AE15" s="60">
        <f t="shared" si="11"/>
        <v>0</v>
      </c>
      <c r="AF15" s="60"/>
      <c r="AG15" s="60"/>
      <c r="AH15" s="60">
        <f t="shared" si="12"/>
        <v>0</v>
      </c>
      <c r="AI15" s="60"/>
      <c r="AJ15" s="60"/>
      <c r="AK15" s="60">
        <f t="shared" si="13"/>
        <v>0</v>
      </c>
      <c r="AL15" s="60"/>
      <c r="AM15" s="60"/>
      <c r="AN15" s="60">
        <f t="shared" si="14"/>
        <v>0</v>
      </c>
      <c r="AO15" s="60">
        <v>505997</v>
      </c>
      <c r="AP15" s="60">
        <v>1852368</v>
      </c>
      <c r="AQ15" s="60">
        <f t="shared" si="15"/>
        <v>2358365</v>
      </c>
      <c r="AR15" s="60"/>
      <c r="AS15" s="60"/>
      <c r="AT15" s="60">
        <f t="shared" si="16"/>
        <v>0</v>
      </c>
      <c r="AU15" s="60"/>
      <c r="AV15" s="60"/>
      <c r="AW15" s="60">
        <f t="shared" si="17"/>
        <v>0</v>
      </c>
      <c r="AX15" s="60"/>
      <c r="AY15" s="60"/>
      <c r="AZ15" s="60">
        <f t="shared" si="18"/>
        <v>0</v>
      </c>
      <c r="BA15" s="60"/>
      <c r="BB15" s="60"/>
      <c r="BC15" s="60">
        <f t="shared" si="19"/>
        <v>0</v>
      </c>
      <c r="BD15" s="60"/>
      <c r="BE15" s="60"/>
      <c r="BF15" s="60">
        <f t="shared" si="20"/>
        <v>0</v>
      </c>
      <c r="BG15" s="60"/>
      <c r="BH15" s="60"/>
      <c r="BI15" s="60">
        <f t="shared" si="21"/>
        <v>0</v>
      </c>
      <c r="BJ15" s="60"/>
      <c r="BK15" s="60"/>
      <c r="BL15" s="60">
        <f t="shared" si="22"/>
        <v>0</v>
      </c>
      <c r="BM15" s="60"/>
      <c r="BN15" s="60"/>
      <c r="BO15" s="60">
        <f t="shared" si="23"/>
        <v>0</v>
      </c>
      <c r="BP15" s="60"/>
      <c r="BQ15" s="60"/>
      <c r="BR15" s="60">
        <f t="shared" si="1"/>
        <v>0</v>
      </c>
      <c r="BS15" s="60"/>
      <c r="BT15" s="60"/>
      <c r="BU15" s="60">
        <f t="shared" si="24"/>
        <v>0</v>
      </c>
      <c r="BV15" s="60"/>
      <c r="BW15" s="60"/>
      <c r="BX15" s="60">
        <f t="shared" si="25"/>
        <v>0</v>
      </c>
      <c r="BY15" s="60"/>
      <c r="BZ15" s="60"/>
      <c r="CA15" s="60">
        <f t="shared" si="26"/>
        <v>0</v>
      </c>
      <c r="CB15" s="60"/>
      <c r="CC15" s="60"/>
      <c r="CD15" s="60">
        <f t="shared" si="2"/>
        <v>0</v>
      </c>
      <c r="CE15" s="60"/>
      <c r="CF15" s="60"/>
      <c r="CG15" s="60">
        <f t="shared" si="27"/>
        <v>0</v>
      </c>
      <c r="CH15" s="60"/>
      <c r="CI15" s="60"/>
      <c r="CJ15" s="60">
        <f t="shared" si="28"/>
        <v>0</v>
      </c>
      <c r="CK15" s="60"/>
      <c r="CL15" s="60"/>
      <c r="CM15" s="60">
        <f t="shared" si="29"/>
        <v>0</v>
      </c>
      <c r="CN15" s="60"/>
      <c r="CO15" s="60"/>
      <c r="CP15" s="60">
        <f t="shared" si="32"/>
        <v>0</v>
      </c>
      <c r="CQ15" s="60"/>
      <c r="CR15" s="60"/>
      <c r="CS15" s="60">
        <f t="shared" si="30"/>
        <v>0</v>
      </c>
      <c r="CT15" s="60"/>
      <c r="CU15" s="60"/>
      <c r="CV15" s="60">
        <f t="shared" si="3"/>
        <v>0</v>
      </c>
    </row>
    <row r="16" spans="1:100" ht="15" customHeight="1" x14ac:dyDescent="0.25">
      <c r="A16" s="61" t="s">
        <v>191</v>
      </c>
      <c r="B16" s="60"/>
      <c r="C16" s="60"/>
      <c r="D16" s="60">
        <f t="shared" si="0"/>
        <v>0</v>
      </c>
      <c r="E16" s="60"/>
      <c r="F16" s="60"/>
      <c r="G16" s="60">
        <f t="shared" si="4"/>
        <v>0</v>
      </c>
      <c r="H16" s="60"/>
      <c r="I16" s="60"/>
      <c r="J16" s="60">
        <f t="shared" si="31"/>
        <v>0</v>
      </c>
      <c r="K16" s="60"/>
      <c r="L16" s="60"/>
      <c r="M16" s="60">
        <f t="shared" si="5"/>
        <v>0</v>
      </c>
      <c r="N16" s="60"/>
      <c r="O16" s="60"/>
      <c r="P16" s="60">
        <f t="shared" si="6"/>
        <v>0</v>
      </c>
      <c r="Q16" s="60"/>
      <c r="R16" s="60"/>
      <c r="S16" s="60">
        <f t="shared" si="7"/>
        <v>0</v>
      </c>
      <c r="T16" s="60"/>
      <c r="U16" s="60"/>
      <c r="V16" s="60">
        <f t="shared" si="8"/>
        <v>0</v>
      </c>
      <c r="W16" s="60"/>
      <c r="X16" s="60"/>
      <c r="Y16" s="60">
        <f t="shared" si="9"/>
        <v>0</v>
      </c>
      <c r="Z16" s="60"/>
      <c r="AA16" s="60"/>
      <c r="AB16" s="60">
        <f t="shared" si="10"/>
        <v>0</v>
      </c>
      <c r="AC16" s="60"/>
      <c r="AD16" s="60"/>
      <c r="AE16" s="60">
        <f t="shared" si="11"/>
        <v>0</v>
      </c>
      <c r="AF16" s="60"/>
      <c r="AG16" s="60"/>
      <c r="AH16" s="60">
        <f t="shared" si="12"/>
        <v>0</v>
      </c>
      <c r="AI16" s="60"/>
      <c r="AJ16" s="60"/>
      <c r="AK16" s="60">
        <f t="shared" si="13"/>
        <v>0</v>
      </c>
      <c r="AL16" s="60"/>
      <c r="AM16" s="60"/>
      <c r="AN16" s="60">
        <f t="shared" si="14"/>
        <v>0</v>
      </c>
      <c r="AO16" s="60">
        <v>1073</v>
      </c>
      <c r="AP16" s="60">
        <v>3927</v>
      </c>
      <c r="AQ16" s="60">
        <f t="shared" si="15"/>
        <v>5000</v>
      </c>
      <c r="AR16" s="60"/>
      <c r="AS16" s="60"/>
      <c r="AT16" s="60">
        <f t="shared" si="16"/>
        <v>0</v>
      </c>
      <c r="AU16" s="60"/>
      <c r="AV16" s="60"/>
      <c r="AW16" s="60">
        <f t="shared" si="17"/>
        <v>0</v>
      </c>
      <c r="AX16" s="60"/>
      <c r="AY16" s="60"/>
      <c r="AZ16" s="60">
        <f t="shared" si="18"/>
        <v>0</v>
      </c>
      <c r="BA16" s="60"/>
      <c r="BB16" s="60"/>
      <c r="BC16" s="60">
        <f t="shared" si="19"/>
        <v>0</v>
      </c>
      <c r="BD16" s="60"/>
      <c r="BE16" s="60"/>
      <c r="BF16" s="60">
        <f t="shared" si="20"/>
        <v>0</v>
      </c>
      <c r="BG16" s="60"/>
      <c r="BH16" s="60"/>
      <c r="BI16" s="60">
        <f t="shared" si="21"/>
        <v>0</v>
      </c>
      <c r="BJ16" s="60"/>
      <c r="BK16" s="60"/>
      <c r="BL16" s="60">
        <f t="shared" si="22"/>
        <v>0</v>
      </c>
      <c r="BM16" s="60"/>
      <c r="BN16" s="60"/>
      <c r="BO16" s="60">
        <f t="shared" si="23"/>
        <v>0</v>
      </c>
      <c r="BP16" s="60"/>
      <c r="BQ16" s="60"/>
      <c r="BR16" s="60">
        <f t="shared" si="1"/>
        <v>0</v>
      </c>
      <c r="BS16" s="60"/>
      <c r="BT16" s="60"/>
      <c r="BU16" s="60">
        <f t="shared" si="24"/>
        <v>0</v>
      </c>
      <c r="BV16" s="60"/>
      <c r="BW16" s="60"/>
      <c r="BX16" s="60">
        <f t="shared" si="25"/>
        <v>0</v>
      </c>
      <c r="BY16" s="60"/>
      <c r="BZ16" s="60"/>
      <c r="CA16" s="60">
        <f t="shared" si="26"/>
        <v>0</v>
      </c>
      <c r="CB16" s="60">
        <v>731641</v>
      </c>
      <c r="CC16" s="60"/>
      <c r="CD16" s="60">
        <f t="shared" si="2"/>
        <v>731641</v>
      </c>
      <c r="CE16" s="60"/>
      <c r="CF16" s="60"/>
      <c r="CG16" s="60">
        <f t="shared" si="27"/>
        <v>0</v>
      </c>
      <c r="CH16" s="60"/>
      <c r="CI16" s="60"/>
      <c r="CJ16" s="60">
        <f t="shared" si="28"/>
        <v>0</v>
      </c>
      <c r="CK16" s="60"/>
      <c r="CL16" s="60"/>
      <c r="CM16" s="60">
        <f t="shared" si="29"/>
        <v>0</v>
      </c>
      <c r="CN16" s="60"/>
      <c r="CO16" s="60"/>
      <c r="CP16" s="60">
        <v>500</v>
      </c>
      <c r="CQ16" s="60"/>
      <c r="CR16" s="60"/>
      <c r="CS16" s="60">
        <f t="shared" si="30"/>
        <v>0</v>
      </c>
      <c r="CT16" s="60"/>
      <c r="CU16" s="60"/>
      <c r="CV16" s="60">
        <f t="shared" si="3"/>
        <v>0</v>
      </c>
    </row>
    <row r="17" spans="1:100" ht="15" customHeight="1" x14ac:dyDescent="0.25">
      <c r="A17" s="61" t="s">
        <v>192</v>
      </c>
      <c r="B17" s="60"/>
      <c r="C17" s="60"/>
      <c r="D17" s="60">
        <f t="shared" si="0"/>
        <v>0</v>
      </c>
      <c r="E17" s="60"/>
      <c r="F17" s="60"/>
      <c r="G17" s="60">
        <f t="shared" si="4"/>
        <v>0</v>
      </c>
      <c r="H17" s="60"/>
      <c r="I17" s="60"/>
      <c r="J17" s="60">
        <f t="shared" si="31"/>
        <v>0</v>
      </c>
      <c r="K17" s="60"/>
      <c r="L17" s="60"/>
      <c r="M17" s="60">
        <f t="shared" si="5"/>
        <v>0</v>
      </c>
      <c r="N17" s="60">
        <v>122176</v>
      </c>
      <c r="O17" s="60">
        <v>625078</v>
      </c>
      <c r="P17" s="60">
        <f t="shared" si="6"/>
        <v>747254</v>
      </c>
      <c r="Q17" s="60">
        <v>30545</v>
      </c>
      <c r="R17" s="60">
        <v>257706</v>
      </c>
      <c r="S17" s="60">
        <f t="shared" si="7"/>
        <v>288251</v>
      </c>
      <c r="T17" s="60"/>
      <c r="U17" s="60"/>
      <c r="V17" s="60">
        <f t="shared" si="8"/>
        <v>0</v>
      </c>
      <c r="W17" s="60"/>
      <c r="X17" s="60"/>
      <c r="Y17" s="60">
        <f t="shared" si="9"/>
        <v>0</v>
      </c>
      <c r="Z17" s="60"/>
      <c r="AA17" s="60"/>
      <c r="AB17" s="60">
        <f t="shared" si="10"/>
        <v>0</v>
      </c>
      <c r="AC17" s="60">
        <v>249903</v>
      </c>
      <c r="AD17" s="60"/>
      <c r="AE17" s="60">
        <f t="shared" si="11"/>
        <v>249903</v>
      </c>
      <c r="AF17" s="60"/>
      <c r="AG17" s="60"/>
      <c r="AH17" s="60">
        <f t="shared" si="12"/>
        <v>0</v>
      </c>
      <c r="AI17" s="60"/>
      <c r="AJ17" s="60"/>
      <c r="AK17" s="60">
        <f t="shared" si="13"/>
        <v>0</v>
      </c>
      <c r="AL17" s="60">
        <v>245189</v>
      </c>
      <c r="AM17" s="60">
        <v>808241</v>
      </c>
      <c r="AN17" s="60">
        <f t="shared" si="14"/>
        <v>1053430</v>
      </c>
      <c r="AO17" s="60"/>
      <c r="AP17" s="60"/>
      <c r="AQ17" s="60">
        <f t="shared" si="15"/>
        <v>0</v>
      </c>
      <c r="AR17" s="60"/>
      <c r="AS17" s="60"/>
      <c r="AT17" s="60">
        <f t="shared" si="16"/>
        <v>0</v>
      </c>
      <c r="AU17" s="60"/>
      <c r="AV17" s="60"/>
      <c r="AW17" s="60">
        <f t="shared" si="17"/>
        <v>0</v>
      </c>
      <c r="AX17" s="60"/>
      <c r="AY17" s="60"/>
      <c r="AZ17" s="60">
        <f t="shared" si="18"/>
        <v>0</v>
      </c>
      <c r="BA17" s="60"/>
      <c r="BB17" s="60"/>
      <c r="BC17" s="60">
        <f t="shared" si="19"/>
        <v>0</v>
      </c>
      <c r="BD17" s="60"/>
      <c r="BE17" s="60"/>
      <c r="BF17" s="60">
        <f t="shared" si="20"/>
        <v>0</v>
      </c>
      <c r="BG17" s="60">
        <v>13</v>
      </c>
      <c r="BH17" s="60">
        <v>2421</v>
      </c>
      <c r="BI17" s="60">
        <f t="shared" si="21"/>
        <v>2434</v>
      </c>
      <c r="BJ17" s="60"/>
      <c r="BK17" s="60"/>
      <c r="BL17" s="60">
        <f t="shared" si="22"/>
        <v>0</v>
      </c>
      <c r="BM17" s="60"/>
      <c r="BN17" s="60"/>
      <c r="BO17" s="60">
        <f t="shared" si="23"/>
        <v>0</v>
      </c>
      <c r="BP17" s="60"/>
      <c r="BQ17" s="60"/>
      <c r="BR17" s="60">
        <f t="shared" si="1"/>
        <v>0</v>
      </c>
      <c r="BS17" s="60"/>
      <c r="BT17" s="60"/>
      <c r="BU17" s="60">
        <f t="shared" si="24"/>
        <v>0</v>
      </c>
      <c r="BV17" s="60"/>
      <c r="BW17" s="60"/>
      <c r="BX17" s="60">
        <f t="shared" si="25"/>
        <v>0</v>
      </c>
      <c r="BY17" s="60"/>
      <c r="BZ17" s="60"/>
      <c r="CA17" s="60">
        <f t="shared" si="26"/>
        <v>0</v>
      </c>
      <c r="CB17" s="60"/>
      <c r="CC17" s="60"/>
      <c r="CD17" s="60">
        <f t="shared" si="2"/>
        <v>0</v>
      </c>
      <c r="CE17" s="60">
        <v>142295</v>
      </c>
      <c r="CF17" s="60">
        <v>234633</v>
      </c>
      <c r="CG17" s="60">
        <f t="shared" si="27"/>
        <v>376928</v>
      </c>
      <c r="CH17" s="60"/>
      <c r="CI17" s="60">
        <v>227432</v>
      </c>
      <c r="CJ17" s="60">
        <f t="shared" si="28"/>
        <v>227432</v>
      </c>
      <c r="CK17" s="60"/>
      <c r="CL17" s="60"/>
      <c r="CM17" s="60">
        <f t="shared" si="29"/>
        <v>0</v>
      </c>
      <c r="CN17" s="60"/>
      <c r="CO17" s="60"/>
      <c r="CP17" s="60">
        <f t="shared" si="32"/>
        <v>0</v>
      </c>
      <c r="CQ17" s="60"/>
      <c r="CR17" s="60"/>
      <c r="CS17" s="60">
        <f t="shared" si="30"/>
        <v>0</v>
      </c>
      <c r="CT17" s="60"/>
      <c r="CU17" s="60"/>
      <c r="CV17" s="60">
        <f t="shared" si="3"/>
        <v>0</v>
      </c>
    </row>
    <row r="18" spans="1:100" ht="15" customHeight="1" x14ac:dyDescent="0.25">
      <c r="A18" s="61" t="s">
        <v>193</v>
      </c>
      <c r="B18" s="60">
        <v>465746</v>
      </c>
      <c r="C18" s="60">
        <v>897294</v>
      </c>
      <c r="D18" s="60">
        <f t="shared" si="0"/>
        <v>1363040</v>
      </c>
      <c r="E18" s="60">
        <f>260081+50355</f>
        <v>310436</v>
      </c>
      <c r="F18" s="60">
        <f>404594+458761</f>
        <v>863355</v>
      </c>
      <c r="G18" s="60">
        <f t="shared" si="4"/>
        <v>1173791</v>
      </c>
      <c r="H18" s="60"/>
      <c r="I18" s="60"/>
      <c r="J18" s="60">
        <v>9121024</v>
      </c>
      <c r="K18" s="60">
        <v>12561510</v>
      </c>
      <c r="L18" s="60">
        <v>39038190</v>
      </c>
      <c r="M18" s="60">
        <f t="shared" si="5"/>
        <v>51599700</v>
      </c>
      <c r="N18" s="60">
        <v>2830716</v>
      </c>
      <c r="O18" s="60">
        <v>14482537</v>
      </c>
      <c r="P18" s="60">
        <f t="shared" si="6"/>
        <v>17313253</v>
      </c>
      <c r="Q18" s="60">
        <v>480928</v>
      </c>
      <c r="R18" s="60">
        <v>4057605</v>
      </c>
      <c r="S18" s="60">
        <f t="shared" si="7"/>
        <v>4538533</v>
      </c>
      <c r="T18" s="60">
        <v>12503100.289999999</v>
      </c>
      <c r="U18" s="60">
        <v>16573877.140000001</v>
      </c>
      <c r="V18" s="60">
        <f t="shared" si="8"/>
        <v>29076977.43</v>
      </c>
      <c r="W18" s="60">
        <v>196874</v>
      </c>
      <c r="X18" s="60">
        <v>467329</v>
      </c>
      <c r="Y18" s="60">
        <f t="shared" si="9"/>
        <v>664203</v>
      </c>
      <c r="Z18" s="60">
        <v>2861752</v>
      </c>
      <c r="AA18" s="60">
        <v>12843193</v>
      </c>
      <c r="AB18" s="60">
        <f t="shared" si="10"/>
        <v>15704945</v>
      </c>
      <c r="AC18" s="60">
        <v>2317649</v>
      </c>
      <c r="AD18" s="60">
        <v>7042504</v>
      </c>
      <c r="AE18" s="60">
        <f t="shared" si="11"/>
        <v>9360153</v>
      </c>
      <c r="AF18" s="60">
        <v>6473037</v>
      </c>
      <c r="AG18" s="60">
        <v>29300288</v>
      </c>
      <c r="AH18" s="60">
        <f t="shared" si="12"/>
        <v>35773325</v>
      </c>
      <c r="AI18" s="60">
        <v>1050832</v>
      </c>
      <c r="AJ18" s="60">
        <v>3293732</v>
      </c>
      <c r="AK18" s="60">
        <f t="shared" si="13"/>
        <v>4344564</v>
      </c>
      <c r="AL18" s="60">
        <v>14686158</v>
      </c>
      <c r="AM18" s="60">
        <v>48411332</v>
      </c>
      <c r="AN18" s="60">
        <f t="shared" si="14"/>
        <v>63097490</v>
      </c>
      <c r="AO18" s="60">
        <v>6934664</v>
      </c>
      <c r="AP18" s="60">
        <v>25386631</v>
      </c>
      <c r="AQ18" s="60">
        <f t="shared" si="15"/>
        <v>32321295</v>
      </c>
      <c r="AR18" s="60">
        <v>376234</v>
      </c>
      <c r="AS18" s="60">
        <v>1245914</v>
      </c>
      <c r="AT18" s="60">
        <f>AS18+AR18</f>
        <v>1622148</v>
      </c>
      <c r="AU18" s="60">
        <v>1781312</v>
      </c>
      <c r="AV18" s="60">
        <v>4324384</v>
      </c>
      <c r="AW18" s="60">
        <f t="shared" si="17"/>
        <v>6105696</v>
      </c>
      <c r="AX18" s="60">
        <v>1265977</v>
      </c>
      <c r="AY18" s="60">
        <v>7208313</v>
      </c>
      <c r="AZ18" s="60">
        <f t="shared" si="18"/>
        <v>8474290</v>
      </c>
      <c r="BA18" s="60">
        <v>975305</v>
      </c>
      <c r="BB18" s="60">
        <v>939920</v>
      </c>
      <c r="BC18" s="60">
        <f t="shared" si="19"/>
        <v>1915225</v>
      </c>
      <c r="BD18" s="60">
        <v>1819678</v>
      </c>
      <c r="BE18" s="60">
        <v>1340650</v>
      </c>
      <c r="BF18" s="60">
        <f t="shared" si="20"/>
        <v>3160328</v>
      </c>
      <c r="BG18" s="60">
        <v>120180</v>
      </c>
      <c r="BH18" s="60">
        <v>22691660</v>
      </c>
      <c r="BI18" s="60">
        <f t="shared" si="21"/>
        <v>22811840</v>
      </c>
      <c r="BJ18" s="60">
        <v>524899</v>
      </c>
      <c r="BK18" s="60">
        <v>862765</v>
      </c>
      <c r="BL18" s="60">
        <f t="shared" si="22"/>
        <v>1387664</v>
      </c>
      <c r="BM18" s="60"/>
      <c r="BN18" s="60"/>
      <c r="BO18" s="60">
        <f t="shared" si="23"/>
        <v>0</v>
      </c>
      <c r="BP18" s="60">
        <v>1578459</v>
      </c>
      <c r="BQ18" s="60">
        <v>7018938</v>
      </c>
      <c r="BR18" s="60">
        <f t="shared" si="1"/>
        <v>8597397</v>
      </c>
      <c r="BS18" s="60">
        <v>264242</v>
      </c>
      <c r="BT18" s="60">
        <v>501011</v>
      </c>
      <c r="BU18" s="60">
        <f t="shared" si="24"/>
        <v>765253</v>
      </c>
      <c r="BV18" s="60">
        <v>2087862</v>
      </c>
      <c r="BW18" s="60">
        <v>10369226</v>
      </c>
      <c r="BX18" s="60">
        <f t="shared" si="25"/>
        <v>12457088</v>
      </c>
      <c r="BY18" s="60">
        <v>10002953</v>
      </c>
      <c r="BZ18" s="60">
        <v>19387829</v>
      </c>
      <c r="CA18" s="60">
        <f t="shared" si="26"/>
        <v>29390782</v>
      </c>
      <c r="CB18" s="60">
        <v>5958694</v>
      </c>
      <c r="CC18" s="60">
        <v>51905567</v>
      </c>
      <c r="CD18" s="60">
        <f t="shared" si="2"/>
        <v>57864261</v>
      </c>
      <c r="CE18" s="60">
        <v>7282931</v>
      </c>
      <c r="CF18" s="60">
        <v>12008945</v>
      </c>
      <c r="CG18" s="60">
        <f t="shared" si="27"/>
        <v>19291876</v>
      </c>
      <c r="CH18" s="60">
        <v>5606767</v>
      </c>
      <c r="CI18" s="60">
        <v>23744444</v>
      </c>
      <c r="CJ18" s="60">
        <f t="shared" si="28"/>
        <v>29351211</v>
      </c>
      <c r="CK18" s="60">
        <v>17605124</v>
      </c>
      <c r="CL18" s="60">
        <v>41143320</v>
      </c>
      <c r="CM18" s="60">
        <f t="shared" si="29"/>
        <v>58748444</v>
      </c>
      <c r="CN18" s="60"/>
      <c r="CO18" s="60"/>
      <c r="CP18" s="60">
        <v>29049764</v>
      </c>
      <c r="CQ18" s="60"/>
      <c r="CR18" s="60"/>
      <c r="CS18" s="60">
        <v>46085537</v>
      </c>
      <c r="CT18" s="60">
        <v>2028094</v>
      </c>
      <c r="CU18" s="60">
        <v>5284108</v>
      </c>
      <c r="CV18" s="60">
        <f t="shared" si="3"/>
        <v>7312202</v>
      </c>
    </row>
    <row r="19" spans="1:100" ht="15" customHeight="1" x14ac:dyDescent="0.25">
      <c r="A19" s="61" t="s">
        <v>194</v>
      </c>
      <c r="B19" s="60"/>
      <c r="C19" s="60"/>
      <c r="D19" s="60">
        <f t="shared" si="0"/>
        <v>0</v>
      </c>
      <c r="E19" s="60"/>
      <c r="F19" s="60">
        <v>150444</v>
      </c>
      <c r="G19" s="60">
        <f t="shared" si="4"/>
        <v>150444</v>
      </c>
      <c r="H19" s="60"/>
      <c r="I19" s="60"/>
      <c r="J19" s="60">
        <v>292177</v>
      </c>
      <c r="K19" s="60"/>
      <c r="L19" s="60"/>
      <c r="M19" s="60">
        <f t="shared" si="5"/>
        <v>0</v>
      </c>
      <c r="N19" s="60">
        <f>-40875+65680</f>
        <v>24805</v>
      </c>
      <c r="O19" s="60">
        <f>-209125+336034</f>
        <v>126909</v>
      </c>
      <c r="P19" s="60">
        <f t="shared" si="6"/>
        <v>151714</v>
      </c>
      <c r="Q19" s="60">
        <f>14731+3412+13505</f>
        <v>31648</v>
      </c>
      <c r="R19" s="60">
        <f>124295+28783+113938</f>
        <v>267016</v>
      </c>
      <c r="S19" s="60">
        <f t="shared" si="7"/>
        <v>298664</v>
      </c>
      <c r="T19" s="60">
        <v>843956.36</v>
      </c>
      <c r="U19" s="60">
        <v>1118732.8600000001</v>
      </c>
      <c r="V19" s="60">
        <f t="shared" si="8"/>
        <v>1962689.2200000002</v>
      </c>
      <c r="W19" s="60">
        <v>213931</v>
      </c>
      <c r="X19" s="60"/>
      <c r="Y19" s="60">
        <f t="shared" si="9"/>
        <v>213931</v>
      </c>
      <c r="Z19" s="60">
        <f>-22632+140138</f>
        <v>117506</v>
      </c>
      <c r="AA19" s="60">
        <f>628924-101568</f>
        <v>527356</v>
      </c>
      <c r="AB19" s="60">
        <f t="shared" si="10"/>
        <v>644862</v>
      </c>
      <c r="AC19" s="60">
        <v>45294</v>
      </c>
      <c r="AD19" s="60"/>
      <c r="AE19" s="60">
        <f t="shared" si="11"/>
        <v>45294</v>
      </c>
      <c r="AF19" s="60"/>
      <c r="AG19" s="60"/>
      <c r="AH19" s="60">
        <f t="shared" si="12"/>
        <v>0</v>
      </c>
      <c r="AI19" s="60"/>
      <c r="AJ19" s="60"/>
      <c r="AK19" s="60">
        <f t="shared" si="13"/>
        <v>0</v>
      </c>
      <c r="AL19" s="60"/>
      <c r="AM19" s="60"/>
      <c r="AN19" s="60">
        <f t="shared" si="14"/>
        <v>0</v>
      </c>
      <c r="AO19" s="60">
        <f>3835+236009-118005</f>
        <v>121839</v>
      </c>
      <c r="AP19" s="60">
        <f>14039+863991-431995</f>
        <v>446035</v>
      </c>
      <c r="AQ19" s="60">
        <f t="shared" si="15"/>
        <v>567874</v>
      </c>
      <c r="AR19" s="60"/>
      <c r="AS19" s="60"/>
      <c r="AT19" s="60">
        <f t="shared" si="16"/>
        <v>0</v>
      </c>
      <c r="AU19" s="60"/>
      <c r="AV19" s="60"/>
      <c r="AW19" s="60">
        <f t="shared" si="17"/>
        <v>0</v>
      </c>
      <c r="AX19" s="60">
        <v>141959</v>
      </c>
      <c r="AY19" s="60">
        <v>808294</v>
      </c>
      <c r="AZ19" s="60">
        <f t="shared" si="18"/>
        <v>950253</v>
      </c>
      <c r="BA19" s="60"/>
      <c r="BB19" s="60"/>
      <c r="BC19" s="60">
        <f t="shared" si="19"/>
        <v>0</v>
      </c>
      <c r="BD19" s="60"/>
      <c r="BE19" s="60"/>
      <c r="BF19" s="60">
        <f t="shared" si="20"/>
        <v>0</v>
      </c>
      <c r="BG19" s="60"/>
      <c r="BH19" s="60"/>
      <c r="BI19" s="60">
        <f t="shared" si="21"/>
        <v>0</v>
      </c>
      <c r="BJ19" s="60">
        <v>21239</v>
      </c>
      <c r="BK19" s="60">
        <v>20223</v>
      </c>
      <c r="BL19" s="60">
        <f t="shared" si="22"/>
        <v>41462</v>
      </c>
      <c r="BM19" s="60"/>
      <c r="BN19" s="60"/>
      <c r="BO19" s="60">
        <f t="shared" si="23"/>
        <v>0</v>
      </c>
      <c r="BP19" s="60">
        <f>419318-96319</f>
        <v>322999</v>
      </c>
      <c r="BQ19" s="60">
        <f>1864580-428302</f>
        <v>1436278</v>
      </c>
      <c r="BR19" s="60">
        <f t="shared" si="1"/>
        <v>1759277</v>
      </c>
      <c r="BS19" s="60"/>
      <c r="BT19" s="60"/>
      <c r="BU19" s="60">
        <f t="shared" si="24"/>
        <v>0</v>
      </c>
      <c r="BV19" s="60">
        <v>311180</v>
      </c>
      <c r="BW19" s="60">
        <v>1545458</v>
      </c>
      <c r="BX19" s="60">
        <f t="shared" si="25"/>
        <v>1856638</v>
      </c>
      <c r="BY19" s="60"/>
      <c r="BZ19" s="60"/>
      <c r="CA19" s="60">
        <f t="shared" si="26"/>
        <v>0</v>
      </c>
      <c r="CB19" s="60"/>
      <c r="CC19" s="60"/>
      <c r="CD19" s="60">
        <f t="shared" si="2"/>
        <v>0</v>
      </c>
      <c r="CE19" s="60">
        <v>465588</v>
      </c>
      <c r="CF19" s="60">
        <v>767715</v>
      </c>
      <c r="CG19" s="60">
        <f t="shared" si="27"/>
        <v>1233303</v>
      </c>
      <c r="CH19" s="60">
        <v>49582</v>
      </c>
      <c r="CI19" s="60">
        <v>209978</v>
      </c>
      <c r="CJ19" s="60">
        <f t="shared" si="28"/>
        <v>259560</v>
      </c>
      <c r="CK19" s="60">
        <v>6868737</v>
      </c>
      <c r="CL19" s="60">
        <v>15449827</v>
      </c>
      <c r="CM19" s="60">
        <f t="shared" si="29"/>
        <v>22318564</v>
      </c>
      <c r="CN19" s="60"/>
      <c r="CO19" s="60"/>
      <c r="CP19" s="60">
        <f t="shared" si="32"/>
        <v>0</v>
      </c>
      <c r="CQ19" s="60"/>
      <c r="CR19" s="60"/>
      <c r="CS19" s="60">
        <v>15615959</v>
      </c>
      <c r="CT19" s="60">
        <v>17618</v>
      </c>
      <c r="CU19" s="60">
        <v>45903</v>
      </c>
      <c r="CV19" s="60">
        <f t="shared" si="3"/>
        <v>63521</v>
      </c>
    </row>
    <row r="20" spans="1:100" s="63" customFormat="1" ht="15" customHeight="1" x14ac:dyDescent="0.25">
      <c r="A20" s="59" t="s">
        <v>195</v>
      </c>
      <c r="B20" s="62">
        <f>SUM(B6:B19)</f>
        <v>1224299</v>
      </c>
      <c r="C20" s="62">
        <f t="shared" ref="C20:BN20" si="33">SUM(C6:C19)</f>
        <v>2358703</v>
      </c>
      <c r="D20" s="62">
        <f t="shared" si="33"/>
        <v>3583002</v>
      </c>
      <c r="E20" s="62">
        <f t="shared" si="33"/>
        <v>2911539</v>
      </c>
      <c r="F20" s="62">
        <f t="shared" si="33"/>
        <v>6330514</v>
      </c>
      <c r="G20" s="62">
        <f t="shared" si="33"/>
        <v>9242053</v>
      </c>
      <c r="H20" s="62">
        <f t="shared" si="33"/>
        <v>0</v>
      </c>
      <c r="I20" s="62">
        <f t="shared" si="33"/>
        <v>0</v>
      </c>
      <c r="J20" s="62">
        <f t="shared" si="33"/>
        <v>55714627</v>
      </c>
      <c r="K20" s="62">
        <f t="shared" si="33"/>
        <v>43362373</v>
      </c>
      <c r="L20" s="62">
        <f t="shared" si="33"/>
        <v>143939737</v>
      </c>
      <c r="M20" s="62">
        <f t="shared" si="33"/>
        <v>187302110</v>
      </c>
      <c r="N20" s="62">
        <f t="shared" si="33"/>
        <v>7344274</v>
      </c>
      <c r="O20" s="62">
        <f t="shared" si="33"/>
        <v>37574839</v>
      </c>
      <c r="P20" s="62">
        <f t="shared" si="33"/>
        <v>44919113</v>
      </c>
      <c r="Q20" s="62">
        <f t="shared" si="33"/>
        <v>9063114</v>
      </c>
      <c r="R20" s="62">
        <f t="shared" si="33"/>
        <v>76465866</v>
      </c>
      <c r="S20" s="62">
        <f t="shared" si="33"/>
        <v>85528980</v>
      </c>
      <c r="T20" s="62">
        <f t="shared" si="33"/>
        <v>44102965.029999994</v>
      </c>
      <c r="U20" s="62">
        <f t="shared" si="33"/>
        <v>58462069.960000001</v>
      </c>
      <c r="V20" s="62">
        <f t="shared" si="33"/>
        <v>102565034.99000001</v>
      </c>
      <c r="W20" s="62">
        <f t="shared" si="33"/>
        <v>802950</v>
      </c>
      <c r="X20" s="62">
        <f t="shared" si="33"/>
        <v>2027333</v>
      </c>
      <c r="Y20" s="62">
        <f t="shared" si="33"/>
        <v>2830283</v>
      </c>
      <c r="Z20" s="62">
        <f t="shared" si="33"/>
        <v>8128451</v>
      </c>
      <c r="AA20" s="62">
        <f t="shared" si="33"/>
        <v>36479489</v>
      </c>
      <c r="AB20" s="62">
        <f t="shared" si="33"/>
        <v>44607940</v>
      </c>
      <c r="AC20" s="62">
        <f t="shared" si="33"/>
        <v>6771223</v>
      </c>
      <c r="AD20" s="62">
        <f t="shared" si="33"/>
        <v>31259987</v>
      </c>
      <c r="AE20" s="62">
        <f t="shared" si="33"/>
        <v>38031210</v>
      </c>
      <c r="AF20" s="62">
        <f t="shared" si="33"/>
        <v>20307926</v>
      </c>
      <c r="AG20" s="62">
        <f t="shared" si="33"/>
        <v>91924096</v>
      </c>
      <c r="AH20" s="62">
        <f t="shared" si="33"/>
        <v>112232022</v>
      </c>
      <c r="AI20" s="62">
        <f t="shared" si="33"/>
        <v>3688478</v>
      </c>
      <c r="AJ20" s="62">
        <f t="shared" si="33"/>
        <v>11561182</v>
      </c>
      <c r="AK20" s="62">
        <f t="shared" si="33"/>
        <v>15249660</v>
      </c>
      <c r="AL20" s="62">
        <f t="shared" si="33"/>
        <v>60825884</v>
      </c>
      <c r="AM20" s="62">
        <f t="shared" si="33"/>
        <v>199756029</v>
      </c>
      <c r="AN20" s="62">
        <f t="shared" si="33"/>
        <v>260581913</v>
      </c>
      <c r="AO20" s="62">
        <f t="shared" si="33"/>
        <v>19925913</v>
      </c>
      <c r="AP20" s="62">
        <f t="shared" si="33"/>
        <v>72945395</v>
      </c>
      <c r="AQ20" s="62">
        <f t="shared" si="33"/>
        <v>92871308</v>
      </c>
      <c r="AR20" s="62">
        <f t="shared" si="33"/>
        <v>1629231</v>
      </c>
      <c r="AS20" s="62">
        <f t="shared" si="33"/>
        <v>5406669</v>
      </c>
      <c r="AT20" s="62">
        <f t="shared" si="33"/>
        <v>7035900</v>
      </c>
      <c r="AU20" s="62">
        <f t="shared" si="33"/>
        <v>7680754</v>
      </c>
      <c r="AV20" s="62">
        <f t="shared" si="33"/>
        <v>18646107</v>
      </c>
      <c r="AW20" s="62">
        <f t="shared" si="33"/>
        <v>26326861</v>
      </c>
      <c r="AX20" s="62">
        <f t="shared" si="33"/>
        <v>3561118</v>
      </c>
      <c r="AY20" s="62">
        <f t="shared" si="33"/>
        <v>20276560</v>
      </c>
      <c r="AZ20" s="62">
        <f t="shared" si="33"/>
        <v>23837678</v>
      </c>
      <c r="BA20" s="62">
        <f t="shared" si="33"/>
        <v>2692158</v>
      </c>
      <c r="BB20" s="62">
        <f t="shared" si="33"/>
        <v>3766260</v>
      </c>
      <c r="BC20" s="62">
        <f t="shared" si="33"/>
        <v>6458418</v>
      </c>
      <c r="BD20" s="62">
        <f t="shared" si="33"/>
        <v>3709628</v>
      </c>
      <c r="BE20" s="62">
        <f t="shared" si="33"/>
        <v>5095619</v>
      </c>
      <c r="BF20" s="62">
        <f t="shared" si="33"/>
        <v>8805247</v>
      </c>
      <c r="BG20" s="62">
        <f t="shared" si="33"/>
        <v>1227705</v>
      </c>
      <c r="BH20" s="62">
        <f t="shared" si="33"/>
        <v>231808643</v>
      </c>
      <c r="BI20" s="62">
        <f t="shared" si="33"/>
        <v>233036348</v>
      </c>
      <c r="BJ20" s="62">
        <f t="shared" si="33"/>
        <v>2026780</v>
      </c>
      <c r="BK20" s="62">
        <f t="shared" si="33"/>
        <v>2374369</v>
      </c>
      <c r="BL20" s="62">
        <f t="shared" si="33"/>
        <v>4401149</v>
      </c>
      <c r="BM20" s="62">
        <f t="shared" si="33"/>
        <v>0</v>
      </c>
      <c r="BN20" s="62">
        <f t="shared" si="33"/>
        <v>0</v>
      </c>
      <c r="BO20" s="62">
        <f t="shared" ref="BO20:CS20" si="34">SUM(BO6:BO19)</f>
        <v>0</v>
      </c>
      <c r="BP20" s="62">
        <f t="shared" si="34"/>
        <v>18862872</v>
      </c>
      <c r="BQ20" s="62">
        <f t="shared" si="34"/>
        <v>83877571</v>
      </c>
      <c r="BR20" s="62">
        <f t="shared" si="34"/>
        <v>102740443</v>
      </c>
      <c r="BS20" s="62">
        <f t="shared" si="34"/>
        <v>1544539</v>
      </c>
      <c r="BT20" s="62">
        <f t="shared" si="34"/>
        <v>2928490</v>
      </c>
      <c r="BU20" s="62">
        <f t="shared" si="34"/>
        <v>4473029</v>
      </c>
      <c r="BV20" s="62">
        <f t="shared" si="34"/>
        <v>8559196</v>
      </c>
      <c r="BW20" s="62">
        <f t="shared" si="34"/>
        <v>42508682</v>
      </c>
      <c r="BX20" s="62">
        <f t="shared" si="34"/>
        <v>51067878</v>
      </c>
      <c r="BY20" s="62">
        <f t="shared" ref="BY20:CA20" si="35">SUM(BY6:BY19)</f>
        <v>20601603</v>
      </c>
      <c r="BZ20" s="62">
        <f t="shared" si="35"/>
        <v>51811589</v>
      </c>
      <c r="CA20" s="62">
        <f t="shared" si="35"/>
        <v>72413192</v>
      </c>
      <c r="CB20" s="62">
        <f t="shared" si="34"/>
        <v>15116949</v>
      </c>
      <c r="CC20" s="62">
        <f t="shared" si="34"/>
        <v>81825336</v>
      </c>
      <c r="CD20" s="62">
        <f t="shared" si="34"/>
        <v>96942285</v>
      </c>
      <c r="CE20" s="62">
        <f t="shared" si="34"/>
        <v>19202194</v>
      </c>
      <c r="CF20" s="62">
        <f t="shared" si="34"/>
        <v>31662813</v>
      </c>
      <c r="CG20" s="62">
        <f t="shared" si="34"/>
        <v>50865007</v>
      </c>
      <c r="CH20" s="62">
        <f t="shared" si="34"/>
        <v>23355564</v>
      </c>
      <c r="CI20" s="62">
        <f t="shared" si="34"/>
        <v>98909921</v>
      </c>
      <c r="CJ20" s="62">
        <f t="shared" si="34"/>
        <v>122265485</v>
      </c>
      <c r="CK20" s="62">
        <f t="shared" si="34"/>
        <v>174019055</v>
      </c>
      <c r="CL20" s="62">
        <f t="shared" si="34"/>
        <v>387713037</v>
      </c>
      <c r="CM20" s="62">
        <f t="shared" si="34"/>
        <v>561732092</v>
      </c>
      <c r="CN20" s="62">
        <f t="shared" si="34"/>
        <v>0</v>
      </c>
      <c r="CO20" s="62">
        <f t="shared" si="34"/>
        <v>0</v>
      </c>
      <c r="CP20" s="62">
        <f t="shared" si="34"/>
        <v>204238910</v>
      </c>
      <c r="CQ20" s="62">
        <f t="shared" si="34"/>
        <v>0</v>
      </c>
      <c r="CR20" s="62">
        <f t="shared" si="34"/>
        <v>0</v>
      </c>
      <c r="CS20" s="62">
        <f t="shared" si="34"/>
        <v>280657230</v>
      </c>
      <c r="CT20" s="62">
        <f t="shared" ref="CT20:CV20" si="36">SUM(CT6:CT19)</f>
        <v>7155771</v>
      </c>
      <c r="CU20" s="62">
        <f t="shared" si="36"/>
        <v>18644038</v>
      </c>
      <c r="CV20" s="62">
        <f t="shared" si="36"/>
        <v>25799809</v>
      </c>
    </row>
    <row r="21" spans="1:100" ht="15" customHeight="1" x14ac:dyDescent="0.25">
      <c r="A21" s="59" t="s">
        <v>196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</row>
    <row r="22" spans="1:100" ht="30" x14ac:dyDescent="0.25">
      <c r="A22" s="61" t="s">
        <v>181</v>
      </c>
      <c r="B22" s="60"/>
      <c r="C22" s="60"/>
      <c r="D22" s="60">
        <f t="shared" ref="D22:D36" si="37">B22+C22</f>
        <v>0</v>
      </c>
      <c r="E22" s="60"/>
      <c r="F22" s="60">
        <v>594110</v>
      </c>
      <c r="G22" s="60">
        <f t="shared" ref="G22:G36" si="38">F22+E22</f>
        <v>594110</v>
      </c>
      <c r="H22" s="60"/>
      <c r="I22" s="60"/>
      <c r="J22" s="60">
        <v>649435</v>
      </c>
      <c r="K22" s="60">
        <v>326000</v>
      </c>
      <c r="L22" s="60">
        <v>1469000</v>
      </c>
      <c r="M22" s="60">
        <f t="shared" ref="M22:M36" si="39">L22+K22</f>
        <v>1795000</v>
      </c>
      <c r="N22" s="60">
        <v>122631</v>
      </c>
      <c r="O22" s="60">
        <v>627407</v>
      </c>
      <c r="P22" s="60">
        <f t="shared" ref="P22:P36" si="40">O22+N22</f>
        <v>750038</v>
      </c>
      <c r="Q22" s="60">
        <v>26725</v>
      </c>
      <c r="R22" s="60">
        <v>225477</v>
      </c>
      <c r="S22" s="60">
        <f t="shared" ref="S22:S36" si="41">R22+Q22</f>
        <v>252202</v>
      </c>
      <c r="T22" s="60">
        <f>260426.3+682811.39</f>
        <v>943237.69</v>
      </c>
      <c r="U22" s="60">
        <f>905122.08+345216.26</f>
        <v>1250338.3399999999</v>
      </c>
      <c r="V22" s="60">
        <f t="shared" ref="V22:V36" si="42">U22+T22</f>
        <v>2193576.0299999998</v>
      </c>
      <c r="W22" s="60"/>
      <c r="X22" s="60">
        <v>50446</v>
      </c>
      <c r="Y22" s="60">
        <f t="shared" ref="Y22:Y36" si="43">X22+W22</f>
        <v>50446</v>
      </c>
      <c r="Z22" s="60">
        <v>55672</v>
      </c>
      <c r="AA22" s="60">
        <v>249849</v>
      </c>
      <c r="AB22" s="60">
        <f t="shared" ref="AB22:AB36" si="44">AA22+Z22</f>
        <v>305521</v>
      </c>
      <c r="AC22" s="60"/>
      <c r="AD22" s="60">
        <v>1351475</v>
      </c>
      <c r="AE22" s="60">
        <f t="shared" ref="AE22:AE36" si="45">AD22+AC22</f>
        <v>1351475</v>
      </c>
      <c r="AF22" s="60">
        <v>175435</v>
      </c>
      <c r="AG22" s="60">
        <v>794109</v>
      </c>
      <c r="AH22" s="60">
        <f t="shared" ref="AH22:AH36" si="46">AG22+AF22</f>
        <v>969544</v>
      </c>
      <c r="AI22" s="60">
        <v>218660</v>
      </c>
      <c r="AJ22" s="60">
        <v>685369</v>
      </c>
      <c r="AK22" s="60">
        <f t="shared" ref="AK22:AK36" si="47">AJ22+AI22</f>
        <v>904029</v>
      </c>
      <c r="AL22" s="60"/>
      <c r="AM22" s="60"/>
      <c r="AN22" s="60">
        <f t="shared" ref="AN22:AN36" si="48">AM22+AL22</f>
        <v>0</v>
      </c>
      <c r="AO22" s="60">
        <v>328832</v>
      </c>
      <c r="AP22" s="60">
        <v>1203800</v>
      </c>
      <c r="AQ22" s="60">
        <f t="shared" ref="AQ22:AQ36" si="49">AP22+AO22</f>
        <v>1532632</v>
      </c>
      <c r="AR22" s="60"/>
      <c r="AS22" s="60"/>
      <c r="AT22" s="60">
        <f t="shared" ref="AT22:AT36" si="50">AS22+AR22</f>
        <v>0</v>
      </c>
      <c r="AU22" s="60">
        <v>87672</v>
      </c>
      <c r="AV22" s="60">
        <v>212837</v>
      </c>
      <c r="AW22" s="60">
        <f t="shared" ref="AW22:AW36" si="51">AV22+AU22</f>
        <v>300509</v>
      </c>
      <c r="AX22" s="60"/>
      <c r="AY22" s="60"/>
      <c r="AZ22" s="60">
        <f t="shared" ref="AZ22:AZ36" si="52">AY22+AX22</f>
        <v>0</v>
      </c>
      <c r="BA22" s="60">
        <v>99793</v>
      </c>
      <c r="BB22" s="60"/>
      <c r="BC22" s="60">
        <f t="shared" ref="BC22:BC36" si="53">BB22+BA22</f>
        <v>99793</v>
      </c>
      <c r="BD22" s="60">
        <v>202381</v>
      </c>
      <c r="BE22" s="60">
        <v>901435</v>
      </c>
      <c r="BF22" s="60">
        <f t="shared" ref="BF22:BF36" si="54">BE22+BD22</f>
        <v>1103816</v>
      </c>
      <c r="BG22" s="60">
        <v>26324</v>
      </c>
      <c r="BH22" s="60">
        <v>4970450</v>
      </c>
      <c r="BI22" s="60">
        <f t="shared" ref="BI22:BI36" si="55">BH22+BG22</f>
        <v>4996774</v>
      </c>
      <c r="BJ22" s="60"/>
      <c r="BK22" s="60"/>
      <c r="BL22" s="60">
        <f t="shared" ref="BL22:BL36" si="56">BK22+BJ22</f>
        <v>0</v>
      </c>
      <c r="BM22" s="60"/>
      <c r="BN22" s="60"/>
      <c r="BO22" s="60">
        <f t="shared" ref="BO22:BO36" si="57">BN22+BM22</f>
        <v>0</v>
      </c>
      <c r="BP22" s="60"/>
      <c r="BQ22" s="60"/>
      <c r="BR22" s="60">
        <f t="shared" ref="BR22" si="58">BQ22+BP22</f>
        <v>0</v>
      </c>
      <c r="BS22" s="60">
        <v>276726</v>
      </c>
      <c r="BT22" s="60">
        <v>524680</v>
      </c>
      <c r="BU22" s="60">
        <f t="shared" ref="BU22:BU36" si="59">BT22+BS22</f>
        <v>801406</v>
      </c>
      <c r="BV22" s="60"/>
      <c r="BW22" s="60"/>
      <c r="BX22" s="60">
        <f t="shared" ref="BX22:BX36" si="60">BW22+BV22</f>
        <v>0</v>
      </c>
      <c r="BY22" s="60"/>
      <c r="BZ22" s="60">
        <v>801599</v>
      </c>
      <c r="CA22" s="60">
        <f t="shared" ref="CA22:CA36" si="61">BZ22+BY22</f>
        <v>801599</v>
      </c>
      <c r="CB22" s="60"/>
      <c r="CC22" s="60">
        <v>588467</v>
      </c>
      <c r="CD22" s="60">
        <f t="shared" ref="CD22:CD23" si="62">CC22+CB22</f>
        <v>588467</v>
      </c>
      <c r="CE22" s="60"/>
      <c r="CF22" s="60"/>
      <c r="CG22" s="60">
        <f t="shared" ref="CG22:CG36" si="63">CF22+CE22</f>
        <v>0</v>
      </c>
      <c r="CH22" s="60">
        <v>830713</v>
      </c>
      <c r="CI22" s="60">
        <v>3518037</v>
      </c>
      <c r="CJ22" s="60">
        <f t="shared" ref="CJ22:CJ36" si="64">CI22+CH22</f>
        <v>4348750</v>
      </c>
      <c r="CK22" s="60">
        <v>2320085</v>
      </c>
      <c r="CL22" s="60">
        <v>5422058</v>
      </c>
      <c r="CM22" s="60">
        <f t="shared" ref="CM22:CM36" si="65">CL22+CK22</f>
        <v>7742143</v>
      </c>
      <c r="CN22" s="60"/>
      <c r="CO22" s="60"/>
      <c r="CP22" s="60">
        <v>4158921</v>
      </c>
      <c r="CQ22" s="60"/>
      <c r="CR22" s="60"/>
      <c r="CS22" s="60">
        <v>16387370</v>
      </c>
      <c r="CT22" s="60">
        <v>418242</v>
      </c>
      <c r="CU22" s="60">
        <v>1089711</v>
      </c>
      <c r="CV22" s="60">
        <f t="shared" ref="CV22" si="66">CU22+CT22</f>
        <v>1507953</v>
      </c>
    </row>
    <row r="23" spans="1:100" ht="15" customHeight="1" x14ac:dyDescent="0.25">
      <c r="A23" s="61" t="s">
        <v>182</v>
      </c>
      <c r="B23" s="60"/>
      <c r="C23" s="60"/>
      <c r="D23" s="60">
        <f t="shared" si="37"/>
        <v>0</v>
      </c>
      <c r="E23" s="60"/>
      <c r="F23" s="60"/>
      <c r="G23" s="60">
        <f t="shared" si="38"/>
        <v>0</v>
      </c>
      <c r="H23" s="60"/>
      <c r="I23" s="60"/>
      <c r="J23" s="60">
        <v>2129263</v>
      </c>
      <c r="K23" s="60"/>
      <c r="L23" s="60"/>
      <c r="M23" s="60">
        <f t="shared" si="39"/>
        <v>0</v>
      </c>
      <c r="N23" s="60">
        <v>16386</v>
      </c>
      <c r="O23" s="60">
        <v>83833</v>
      </c>
      <c r="P23" s="60">
        <f t="shared" si="40"/>
        <v>100219</v>
      </c>
      <c r="Q23" s="60"/>
      <c r="R23" s="60"/>
      <c r="S23" s="60">
        <f t="shared" si="41"/>
        <v>0</v>
      </c>
      <c r="T23" s="60"/>
      <c r="U23" s="60"/>
      <c r="V23" s="60">
        <f t="shared" si="42"/>
        <v>0</v>
      </c>
      <c r="W23" s="60"/>
      <c r="X23" s="60"/>
      <c r="Y23" s="60">
        <f t="shared" si="43"/>
        <v>0</v>
      </c>
      <c r="Z23" s="60"/>
      <c r="AA23" s="60"/>
      <c r="AB23" s="60">
        <f t="shared" si="44"/>
        <v>0</v>
      </c>
      <c r="AC23" s="60"/>
      <c r="AD23" s="60"/>
      <c r="AE23" s="60">
        <f t="shared" si="45"/>
        <v>0</v>
      </c>
      <c r="AF23" s="60"/>
      <c r="AG23" s="60"/>
      <c r="AH23" s="60">
        <f t="shared" si="46"/>
        <v>0</v>
      </c>
      <c r="AI23" s="60"/>
      <c r="AJ23" s="60"/>
      <c r="AK23" s="60">
        <f t="shared" si="47"/>
        <v>0</v>
      </c>
      <c r="AL23" s="60">
        <v>2288697</v>
      </c>
      <c r="AM23" s="60">
        <v>7544444</v>
      </c>
      <c r="AN23" s="60">
        <f t="shared" si="48"/>
        <v>9833141</v>
      </c>
      <c r="AO23" s="60">
        <v>2740863</v>
      </c>
      <c r="AP23" s="60">
        <v>10033837</v>
      </c>
      <c r="AQ23" s="60">
        <f t="shared" si="49"/>
        <v>12774700</v>
      </c>
      <c r="AR23" s="60"/>
      <c r="AS23" s="60"/>
      <c r="AT23" s="60">
        <f t="shared" si="50"/>
        <v>0</v>
      </c>
      <c r="AU23" s="60">
        <v>14630</v>
      </c>
      <c r="AV23" s="60">
        <v>35516</v>
      </c>
      <c r="AW23" s="60">
        <f t="shared" si="51"/>
        <v>50146</v>
      </c>
      <c r="AX23" s="60"/>
      <c r="AY23" s="60"/>
      <c r="AZ23" s="60">
        <f t="shared" si="52"/>
        <v>0</v>
      </c>
      <c r="BA23" s="60"/>
      <c r="BB23" s="60"/>
      <c r="BC23" s="60">
        <f t="shared" si="53"/>
        <v>0</v>
      </c>
      <c r="BD23" s="60"/>
      <c r="BE23" s="60">
        <v>101307</v>
      </c>
      <c r="BF23" s="60">
        <f t="shared" si="54"/>
        <v>101307</v>
      </c>
      <c r="BG23" s="60"/>
      <c r="BH23" s="60"/>
      <c r="BI23" s="60">
        <f t="shared" si="55"/>
        <v>0</v>
      </c>
      <c r="BJ23" s="60"/>
      <c r="BK23" s="60"/>
      <c r="BL23" s="60">
        <f t="shared" si="56"/>
        <v>0</v>
      </c>
      <c r="BM23" s="60"/>
      <c r="BN23" s="60"/>
      <c r="BO23" s="60">
        <f t="shared" si="57"/>
        <v>0</v>
      </c>
      <c r="BP23" s="60"/>
      <c r="BQ23" s="60"/>
      <c r="BR23" s="60">
        <f t="shared" ref="BR23:BR36" si="67">BQ23+BP23</f>
        <v>0</v>
      </c>
      <c r="BS23" s="60"/>
      <c r="BT23" s="60"/>
      <c r="BU23" s="60">
        <f t="shared" si="59"/>
        <v>0</v>
      </c>
      <c r="BV23" s="60"/>
      <c r="BW23" s="60"/>
      <c r="BX23" s="60">
        <f t="shared" si="60"/>
        <v>0</v>
      </c>
      <c r="BY23" s="60"/>
      <c r="BZ23" s="60">
        <v>99982</v>
      </c>
      <c r="CA23" s="60">
        <f t="shared" si="61"/>
        <v>99982</v>
      </c>
      <c r="CB23" s="60"/>
      <c r="CC23" s="60">
        <v>598676</v>
      </c>
      <c r="CD23" s="60">
        <f t="shared" si="62"/>
        <v>598676</v>
      </c>
      <c r="CE23" s="60">
        <v>538830</v>
      </c>
      <c r="CF23" s="60">
        <v>888486</v>
      </c>
      <c r="CG23" s="60">
        <f t="shared" si="63"/>
        <v>1427316</v>
      </c>
      <c r="CH23" s="60"/>
      <c r="CI23" s="60"/>
      <c r="CJ23" s="60">
        <f t="shared" si="64"/>
        <v>0</v>
      </c>
      <c r="CK23" s="60"/>
      <c r="CL23" s="60"/>
      <c r="CM23" s="60">
        <f t="shared" si="65"/>
        <v>0</v>
      </c>
      <c r="CN23" s="60"/>
      <c r="CO23" s="60"/>
      <c r="CP23" s="60">
        <f t="shared" ref="CP23:CP36" si="68">CO23+CN23</f>
        <v>0</v>
      </c>
      <c r="CQ23" s="60"/>
      <c r="CR23" s="60"/>
      <c r="CS23" s="60">
        <f t="shared" ref="CS23:CS34" si="69">CR23+CQ23</f>
        <v>0</v>
      </c>
      <c r="CT23" s="60"/>
      <c r="CU23" s="60"/>
      <c r="CV23" s="60">
        <f t="shared" ref="CV23:CV36" si="70">CU23+CT23</f>
        <v>0</v>
      </c>
    </row>
    <row r="24" spans="1:100" ht="15" customHeight="1" x14ac:dyDescent="0.25">
      <c r="A24" s="61" t="s">
        <v>183</v>
      </c>
      <c r="B24" s="60"/>
      <c r="C24" s="60"/>
      <c r="D24" s="60">
        <f t="shared" si="37"/>
        <v>0</v>
      </c>
      <c r="E24" s="60"/>
      <c r="F24" s="60"/>
      <c r="G24" s="60">
        <f t="shared" si="38"/>
        <v>0</v>
      </c>
      <c r="H24" s="60"/>
      <c r="I24" s="60"/>
      <c r="J24" s="60">
        <f t="shared" ref="J24:J36" si="71">I24+H24</f>
        <v>0</v>
      </c>
      <c r="K24" s="60"/>
      <c r="L24" s="60"/>
      <c r="M24" s="60">
        <f t="shared" si="39"/>
        <v>0</v>
      </c>
      <c r="N24" s="60"/>
      <c r="O24" s="60"/>
      <c r="P24" s="60">
        <f t="shared" si="40"/>
        <v>0</v>
      </c>
      <c r="Q24" s="60"/>
      <c r="R24" s="60"/>
      <c r="S24" s="60">
        <f t="shared" si="41"/>
        <v>0</v>
      </c>
      <c r="T24" s="60"/>
      <c r="U24" s="60"/>
      <c r="V24" s="60">
        <f t="shared" si="42"/>
        <v>0</v>
      </c>
      <c r="W24" s="60"/>
      <c r="X24" s="60"/>
      <c r="Y24" s="60">
        <f t="shared" si="43"/>
        <v>0</v>
      </c>
      <c r="Z24" s="60"/>
      <c r="AA24" s="60"/>
      <c r="AB24" s="60">
        <f t="shared" si="44"/>
        <v>0</v>
      </c>
      <c r="AC24" s="60"/>
      <c r="AD24" s="60"/>
      <c r="AE24" s="60">
        <f t="shared" si="45"/>
        <v>0</v>
      </c>
      <c r="AF24" s="60"/>
      <c r="AG24" s="60"/>
      <c r="AH24" s="60">
        <f t="shared" si="46"/>
        <v>0</v>
      </c>
      <c r="AI24" s="60"/>
      <c r="AJ24" s="60"/>
      <c r="AK24" s="60">
        <f t="shared" si="47"/>
        <v>0</v>
      </c>
      <c r="AL24" s="60"/>
      <c r="AM24" s="60"/>
      <c r="AN24" s="60">
        <f t="shared" si="48"/>
        <v>0</v>
      </c>
      <c r="AO24" s="60"/>
      <c r="AP24" s="60"/>
      <c r="AQ24" s="60">
        <f t="shared" si="49"/>
        <v>0</v>
      </c>
      <c r="AR24" s="60"/>
      <c r="AS24" s="60"/>
      <c r="AT24" s="60">
        <f t="shared" si="50"/>
        <v>0</v>
      </c>
      <c r="AU24" s="60"/>
      <c r="AV24" s="60"/>
      <c r="AW24" s="60">
        <f t="shared" si="51"/>
        <v>0</v>
      </c>
      <c r="AX24" s="60"/>
      <c r="AY24" s="60"/>
      <c r="AZ24" s="60">
        <f t="shared" si="52"/>
        <v>0</v>
      </c>
      <c r="BA24" s="60"/>
      <c r="BB24" s="60"/>
      <c r="BC24" s="60">
        <f t="shared" si="53"/>
        <v>0</v>
      </c>
      <c r="BD24" s="60"/>
      <c r="BE24" s="60"/>
      <c r="BF24" s="60">
        <f t="shared" si="54"/>
        <v>0</v>
      </c>
      <c r="BG24" s="60"/>
      <c r="BH24" s="60"/>
      <c r="BI24" s="60">
        <f t="shared" si="55"/>
        <v>0</v>
      </c>
      <c r="BJ24" s="60"/>
      <c r="BK24" s="60"/>
      <c r="BL24" s="60">
        <f t="shared" si="56"/>
        <v>0</v>
      </c>
      <c r="BM24" s="60"/>
      <c r="BN24" s="60"/>
      <c r="BO24" s="60">
        <f t="shared" si="57"/>
        <v>0</v>
      </c>
      <c r="BP24" s="60"/>
      <c r="BQ24" s="60"/>
      <c r="BR24" s="60">
        <f t="shared" si="67"/>
        <v>0</v>
      </c>
      <c r="BS24" s="60"/>
      <c r="BT24" s="60"/>
      <c r="BU24" s="60">
        <f t="shared" si="59"/>
        <v>0</v>
      </c>
      <c r="BV24" s="60"/>
      <c r="BW24" s="60"/>
      <c r="BX24" s="60">
        <f t="shared" si="60"/>
        <v>0</v>
      </c>
      <c r="BY24" s="60"/>
      <c r="BZ24" s="60"/>
      <c r="CA24" s="60">
        <f t="shared" si="61"/>
        <v>0</v>
      </c>
      <c r="CB24" s="60"/>
      <c r="CC24" s="60"/>
      <c r="CD24" s="60">
        <f t="shared" ref="CD24:CD35" si="72">CC24+CB24</f>
        <v>0</v>
      </c>
      <c r="CE24" s="60"/>
      <c r="CF24" s="60"/>
      <c r="CG24" s="60">
        <f t="shared" si="63"/>
        <v>0</v>
      </c>
      <c r="CH24" s="60"/>
      <c r="CI24" s="60"/>
      <c r="CJ24" s="60">
        <f t="shared" si="64"/>
        <v>0</v>
      </c>
      <c r="CK24" s="60"/>
      <c r="CL24" s="60"/>
      <c r="CM24" s="60">
        <f t="shared" si="65"/>
        <v>0</v>
      </c>
      <c r="CN24" s="60"/>
      <c r="CO24" s="60"/>
      <c r="CP24" s="60">
        <f t="shared" si="68"/>
        <v>0</v>
      </c>
      <c r="CQ24" s="60"/>
      <c r="CR24" s="60"/>
      <c r="CS24" s="60">
        <f t="shared" si="69"/>
        <v>0</v>
      </c>
      <c r="CT24" s="60"/>
      <c r="CU24" s="60"/>
      <c r="CV24" s="60">
        <f t="shared" si="70"/>
        <v>0</v>
      </c>
    </row>
    <row r="25" spans="1:100" ht="15" customHeight="1" x14ac:dyDescent="0.25">
      <c r="A25" s="61" t="s">
        <v>184</v>
      </c>
      <c r="B25" s="60"/>
      <c r="C25" s="60"/>
      <c r="D25" s="60">
        <f t="shared" si="37"/>
        <v>0</v>
      </c>
      <c r="E25" s="60"/>
      <c r="F25" s="60"/>
      <c r="G25" s="60">
        <f t="shared" si="38"/>
        <v>0</v>
      </c>
      <c r="H25" s="60"/>
      <c r="I25" s="60"/>
      <c r="J25" s="60">
        <f t="shared" si="71"/>
        <v>0</v>
      </c>
      <c r="K25" s="60"/>
      <c r="L25" s="60"/>
      <c r="M25" s="60">
        <f t="shared" si="39"/>
        <v>0</v>
      </c>
      <c r="N25" s="60"/>
      <c r="O25" s="60"/>
      <c r="P25" s="60">
        <f t="shared" si="40"/>
        <v>0</v>
      </c>
      <c r="Q25" s="60"/>
      <c r="R25" s="60"/>
      <c r="S25" s="60">
        <f t="shared" si="41"/>
        <v>0</v>
      </c>
      <c r="T25" s="60"/>
      <c r="U25" s="60"/>
      <c r="V25" s="60">
        <f t="shared" si="42"/>
        <v>0</v>
      </c>
      <c r="W25" s="60"/>
      <c r="X25" s="60"/>
      <c r="Y25" s="60">
        <f t="shared" si="43"/>
        <v>0</v>
      </c>
      <c r="Z25" s="60"/>
      <c r="AA25" s="60"/>
      <c r="AB25" s="60">
        <f t="shared" si="44"/>
        <v>0</v>
      </c>
      <c r="AC25" s="60"/>
      <c r="AD25" s="60"/>
      <c r="AE25" s="60">
        <f t="shared" si="45"/>
        <v>0</v>
      </c>
      <c r="AF25" s="60"/>
      <c r="AG25" s="60"/>
      <c r="AH25" s="60">
        <f t="shared" si="46"/>
        <v>0</v>
      </c>
      <c r="AI25" s="60"/>
      <c r="AJ25" s="60"/>
      <c r="AK25" s="60">
        <f t="shared" si="47"/>
        <v>0</v>
      </c>
      <c r="AL25" s="60"/>
      <c r="AM25" s="60"/>
      <c r="AN25" s="60">
        <f t="shared" si="48"/>
        <v>0</v>
      </c>
      <c r="AO25" s="60"/>
      <c r="AP25" s="60"/>
      <c r="AQ25" s="60">
        <f t="shared" si="49"/>
        <v>0</v>
      </c>
      <c r="AR25" s="60"/>
      <c r="AS25" s="60"/>
      <c r="AT25" s="60">
        <f t="shared" si="50"/>
        <v>0</v>
      </c>
      <c r="AU25" s="60"/>
      <c r="AV25" s="60"/>
      <c r="AW25" s="60">
        <f t="shared" si="51"/>
        <v>0</v>
      </c>
      <c r="AX25" s="60"/>
      <c r="AY25" s="60"/>
      <c r="AZ25" s="60">
        <f t="shared" si="52"/>
        <v>0</v>
      </c>
      <c r="BA25" s="60"/>
      <c r="BB25" s="60"/>
      <c r="BC25" s="60">
        <f t="shared" si="53"/>
        <v>0</v>
      </c>
      <c r="BD25" s="60"/>
      <c r="BE25" s="60"/>
      <c r="BF25" s="60">
        <f t="shared" si="54"/>
        <v>0</v>
      </c>
      <c r="BG25" s="60"/>
      <c r="BH25" s="60"/>
      <c r="BI25" s="60">
        <f t="shared" si="55"/>
        <v>0</v>
      </c>
      <c r="BJ25" s="60"/>
      <c r="BK25" s="60"/>
      <c r="BL25" s="60">
        <f t="shared" si="56"/>
        <v>0</v>
      </c>
      <c r="BM25" s="60"/>
      <c r="BN25" s="60"/>
      <c r="BO25" s="60">
        <f t="shared" si="57"/>
        <v>0</v>
      </c>
      <c r="BP25" s="60"/>
      <c r="BQ25" s="60"/>
      <c r="BR25" s="60">
        <f t="shared" si="67"/>
        <v>0</v>
      </c>
      <c r="BS25" s="60"/>
      <c r="BT25" s="60"/>
      <c r="BU25" s="60">
        <f t="shared" si="59"/>
        <v>0</v>
      </c>
      <c r="BV25" s="60"/>
      <c r="BW25" s="60"/>
      <c r="BX25" s="60">
        <f t="shared" si="60"/>
        <v>0</v>
      </c>
      <c r="BY25" s="60"/>
      <c r="BZ25" s="60"/>
      <c r="CA25" s="60">
        <f t="shared" si="61"/>
        <v>0</v>
      </c>
      <c r="CB25" s="60"/>
      <c r="CC25" s="60"/>
      <c r="CD25" s="60">
        <f t="shared" si="72"/>
        <v>0</v>
      </c>
      <c r="CE25" s="60"/>
      <c r="CF25" s="60"/>
      <c r="CG25" s="60">
        <f t="shared" si="63"/>
        <v>0</v>
      </c>
      <c r="CH25" s="60"/>
      <c r="CI25" s="60"/>
      <c r="CJ25" s="60">
        <f t="shared" si="64"/>
        <v>0</v>
      </c>
      <c r="CK25" s="60"/>
      <c r="CL25" s="60"/>
      <c r="CM25" s="60">
        <f t="shared" si="65"/>
        <v>0</v>
      </c>
      <c r="CN25" s="60"/>
      <c r="CO25" s="60"/>
      <c r="CP25" s="60">
        <f t="shared" si="68"/>
        <v>0</v>
      </c>
      <c r="CQ25" s="60"/>
      <c r="CR25" s="60"/>
      <c r="CS25" s="60">
        <f t="shared" si="69"/>
        <v>0</v>
      </c>
      <c r="CT25" s="60"/>
      <c r="CU25" s="60"/>
      <c r="CV25" s="60">
        <f t="shared" si="70"/>
        <v>0</v>
      </c>
    </row>
    <row r="26" spans="1:100" ht="15" customHeight="1" x14ac:dyDescent="0.25">
      <c r="A26" s="61" t="s">
        <v>185</v>
      </c>
      <c r="B26" s="60"/>
      <c r="C26" s="60"/>
      <c r="D26" s="60">
        <f t="shared" si="37"/>
        <v>0</v>
      </c>
      <c r="E26" s="60"/>
      <c r="F26" s="60"/>
      <c r="G26" s="60">
        <f t="shared" si="38"/>
        <v>0</v>
      </c>
      <c r="H26" s="60"/>
      <c r="I26" s="60"/>
      <c r="J26" s="60">
        <f t="shared" si="71"/>
        <v>0</v>
      </c>
      <c r="K26" s="60"/>
      <c r="L26" s="60"/>
      <c r="M26" s="60">
        <f t="shared" si="39"/>
        <v>0</v>
      </c>
      <c r="N26" s="60"/>
      <c r="O26" s="60"/>
      <c r="P26" s="60">
        <f t="shared" si="40"/>
        <v>0</v>
      </c>
      <c r="Q26" s="60"/>
      <c r="R26" s="60"/>
      <c r="S26" s="60">
        <f t="shared" si="41"/>
        <v>0</v>
      </c>
      <c r="T26" s="60"/>
      <c r="U26" s="60"/>
      <c r="V26" s="60">
        <f t="shared" si="42"/>
        <v>0</v>
      </c>
      <c r="W26" s="60"/>
      <c r="X26" s="60">
        <v>9059</v>
      </c>
      <c r="Y26" s="60">
        <f t="shared" si="43"/>
        <v>9059</v>
      </c>
      <c r="Z26" s="60"/>
      <c r="AA26" s="60"/>
      <c r="AB26" s="60">
        <f t="shared" si="44"/>
        <v>0</v>
      </c>
      <c r="AC26" s="60"/>
      <c r="AD26" s="60"/>
      <c r="AE26" s="60">
        <f t="shared" si="45"/>
        <v>0</v>
      </c>
      <c r="AF26" s="60"/>
      <c r="AG26" s="60"/>
      <c r="AH26" s="60">
        <f t="shared" si="46"/>
        <v>0</v>
      </c>
      <c r="AI26" s="60"/>
      <c r="AJ26" s="60"/>
      <c r="AK26" s="60">
        <f t="shared" si="47"/>
        <v>0</v>
      </c>
      <c r="AL26" s="60"/>
      <c r="AM26" s="60"/>
      <c r="AN26" s="60">
        <f t="shared" si="48"/>
        <v>0</v>
      </c>
      <c r="AO26" s="60"/>
      <c r="AP26" s="60"/>
      <c r="AQ26" s="60">
        <f t="shared" si="49"/>
        <v>0</v>
      </c>
      <c r="AR26" s="60"/>
      <c r="AS26" s="60"/>
      <c r="AT26" s="60">
        <f t="shared" si="50"/>
        <v>0</v>
      </c>
      <c r="AU26" s="60"/>
      <c r="AV26" s="60"/>
      <c r="AW26" s="60">
        <f t="shared" si="51"/>
        <v>0</v>
      </c>
      <c r="AX26" s="60"/>
      <c r="AY26" s="60"/>
      <c r="AZ26" s="60">
        <f t="shared" si="52"/>
        <v>0</v>
      </c>
      <c r="BA26" s="60"/>
      <c r="BB26" s="60"/>
      <c r="BC26" s="60">
        <f t="shared" si="53"/>
        <v>0</v>
      </c>
      <c r="BD26" s="60"/>
      <c r="BE26" s="60"/>
      <c r="BF26" s="60">
        <f t="shared" si="54"/>
        <v>0</v>
      </c>
      <c r="BG26" s="60"/>
      <c r="BH26" s="60"/>
      <c r="BI26" s="60">
        <f t="shared" si="55"/>
        <v>0</v>
      </c>
      <c r="BJ26" s="60"/>
      <c r="BK26" s="60"/>
      <c r="BL26" s="60">
        <f t="shared" si="56"/>
        <v>0</v>
      </c>
      <c r="BM26" s="60"/>
      <c r="BN26" s="60"/>
      <c r="BO26" s="60">
        <f t="shared" si="57"/>
        <v>0</v>
      </c>
      <c r="BP26" s="60">
        <v>322472</v>
      </c>
      <c r="BQ26" s="60">
        <v>1433936</v>
      </c>
      <c r="BR26" s="60">
        <f t="shared" si="67"/>
        <v>1756408</v>
      </c>
      <c r="BS26" s="60"/>
      <c r="BT26" s="60"/>
      <c r="BU26" s="60">
        <f t="shared" si="59"/>
        <v>0</v>
      </c>
      <c r="BV26" s="60">
        <v>478295</v>
      </c>
      <c r="BW26" s="60">
        <v>2375422</v>
      </c>
      <c r="BX26" s="60">
        <f t="shared" si="60"/>
        <v>2853717</v>
      </c>
      <c r="BY26" s="60"/>
      <c r="BZ26" s="60"/>
      <c r="CA26" s="60">
        <f t="shared" si="61"/>
        <v>0</v>
      </c>
      <c r="CB26" s="60"/>
      <c r="CC26" s="60"/>
      <c r="CD26" s="60">
        <f t="shared" si="72"/>
        <v>0</v>
      </c>
      <c r="CE26" s="60"/>
      <c r="CF26" s="60"/>
      <c r="CG26" s="60">
        <f t="shared" si="63"/>
        <v>0</v>
      </c>
      <c r="CH26" s="60"/>
      <c r="CI26" s="60"/>
      <c r="CJ26" s="60">
        <f t="shared" si="64"/>
        <v>0</v>
      </c>
      <c r="CK26" s="60"/>
      <c r="CL26" s="60"/>
      <c r="CM26" s="60">
        <f t="shared" si="65"/>
        <v>0</v>
      </c>
      <c r="CN26" s="60"/>
      <c r="CO26" s="60"/>
      <c r="CP26" s="60">
        <f t="shared" si="68"/>
        <v>0</v>
      </c>
      <c r="CQ26" s="60"/>
      <c r="CR26" s="60"/>
      <c r="CS26" s="60">
        <f t="shared" si="69"/>
        <v>0</v>
      </c>
      <c r="CT26" s="60">
        <v>70288</v>
      </c>
      <c r="CU26" s="60">
        <v>183131</v>
      </c>
      <c r="CV26" s="60">
        <f t="shared" si="70"/>
        <v>253419</v>
      </c>
    </row>
    <row r="27" spans="1:100" ht="15" customHeight="1" x14ac:dyDescent="0.25">
      <c r="A27" s="61" t="s">
        <v>186</v>
      </c>
      <c r="B27" s="60"/>
      <c r="C27" s="60"/>
      <c r="D27" s="60">
        <f t="shared" si="37"/>
        <v>0</v>
      </c>
      <c r="E27" s="60"/>
      <c r="F27" s="60"/>
      <c r="G27" s="60">
        <f t="shared" si="38"/>
        <v>0</v>
      </c>
      <c r="H27" s="60"/>
      <c r="I27" s="60"/>
      <c r="J27" s="60">
        <f t="shared" si="71"/>
        <v>0</v>
      </c>
      <c r="K27" s="60"/>
      <c r="L27" s="60"/>
      <c r="M27" s="60">
        <f t="shared" si="39"/>
        <v>0</v>
      </c>
      <c r="N27" s="60"/>
      <c r="O27" s="60"/>
      <c r="P27" s="60">
        <f t="shared" si="40"/>
        <v>0</v>
      </c>
      <c r="Q27" s="60"/>
      <c r="R27" s="60"/>
      <c r="S27" s="60">
        <f t="shared" si="41"/>
        <v>0</v>
      </c>
      <c r="T27" s="60"/>
      <c r="U27" s="60"/>
      <c r="V27" s="60">
        <f t="shared" si="42"/>
        <v>0</v>
      </c>
      <c r="W27" s="60"/>
      <c r="X27" s="60"/>
      <c r="Y27" s="60">
        <f t="shared" si="43"/>
        <v>0</v>
      </c>
      <c r="Z27" s="60"/>
      <c r="AA27" s="60"/>
      <c r="AB27" s="60">
        <f t="shared" si="44"/>
        <v>0</v>
      </c>
      <c r="AC27" s="60"/>
      <c r="AD27" s="60"/>
      <c r="AE27" s="60">
        <f t="shared" si="45"/>
        <v>0</v>
      </c>
      <c r="AF27" s="60"/>
      <c r="AG27" s="60"/>
      <c r="AH27" s="60">
        <f t="shared" si="46"/>
        <v>0</v>
      </c>
      <c r="AI27" s="60"/>
      <c r="AJ27" s="60"/>
      <c r="AK27" s="60">
        <f t="shared" si="47"/>
        <v>0</v>
      </c>
      <c r="AL27" s="60"/>
      <c r="AM27" s="60"/>
      <c r="AN27" s="60">
        <f t="shared" si="48"/>
        <v>0</v>
      </c>
      <c r="AO27" s="60"/>
      <c r="AP27" s="60"/>
      <c r="AQ27" s="60">
        <f t="shared" si="49"/>
        <v>0</v>
      </c>
      <c r="AR27" s="60"/>
      <c r="AS27" s="60"/>
      <c r="AT27" s="60">
        <f t="shared" si="50"/>
        <v>0</v>
      </c>
      <c r="AU27" s="60"/>
      <c r="AV27" s="60"/>
      <c r="AW27" s="60">
        <f t="shared" si="51"/>
        <v>0</v>
      </c>
      <c r="AX27" s="60">
        <v>2863</v>
      </c>
      <c r="AY27" s="60">
        <v>16304</v>
      </c>
      <c r="AZ27" s="60">
        <f t="shared" si="52"/>
        <v>19167</v>
      </c>
      <c r="BA27" s="60"/>
      <c r="BB27" s="60"/>
      <c r="BC27" s="60">
        <f t="shared" si="53"/>
        <v>0</v>
      </c>
      <c r="BD27" s="60"/>
      <c r="BE27" s="60"/>
      <c r="BF27" s="60">
        <f t="shared" si="54"/>
        <v>0</v>
      </c>
      <c r="BG27" s="60"/>
      <c r="BH27" s="60"/>
      <c r="BI27" s="60">
        <f t="shared" si="55"/>
        <v>0</v>
      </c>
      <c r="BJ27" s="60"/>
      <c r="BK27" s="60"/>
      <c r="BL27" s="60">
        <f t="shared" si="56"/>
        <v>0</v>
      </c>
      <c r="BM27" s="60"/>
      <c r="BN27" s="60"/>
      <c r="BO27" s="60">
        <f t="shared" si="57"/>
        <v>0</v>
      </c>
      <c r="BP27" s="60"/>
      <c r="BQ27" s="60"/>
      <c r="BR27" s="60">
        <f t="shared" si="67"/>
        <v>0</v>
      </c>
      <c r="BS27" s="60"/>
      <c r="BT27" s="60"/>
      <c r="BU27" s="60">
        <f t="shared" si="59"/>
        <v>0</v>
      </c>
      <c r="BV27" s="60"/>
      <c r="BW27" s="60"/>
      <c r="BX27" s="60">
        <f t="shared" si="60"/>
        <v>0</v>
      </c>
      <c r="BY27" s="60"/>
      <c r="BZ27" s="60"/>
      <c r="CA27" s="60">
        <f t="shared" si="61"/>
        <v>0</v>
      </c>
      <c r="CB27" s="60"/>
      <c r="CC27" s="60"/>
      <c r="CD27" s="60">
        <f t="shared" si="72"/>
        <v>0</v>
      </c>
      <c r="CE27" s="60"/>
      <c r="CF27" s="60"/>
      <c r="CG27" s="60">
        <f t="shared" si="63"/>
        <v>0</v>
      </c>
      <c r="CH27" s="60"/>
      <c r="CI27" s="60"/>
      <c r="CJ27" s="60">
        <f t="shared" si="64"/>
        <v>0</v>
      </c>
      <c r="CK27" s="60"/>
      <c r="CL27" s="60"/>
      <c r="CM27" s="60">
        <f t="shared" si="65"/>
        <v>0</v>
      </c>
      <c r="CN27" s="60"/>
      <c r="CO27" s="60"/>
      <c r="CP27" s="60">
        <v>82</v>
      </c>
      <c r="CQ27" s="60"/>
      <c r="CR27" s="60"/>
      <c r="CS27" s="60">
        <f t="shared" si="69"/>
        <v>0</v>
      </c>
      <c r="CT27" s="60"/>
      <c r="CU27" s="60"/>
      <c r="CV27" s="60">
        <f t="shared" si="70"/>
        <v>0</v>
      </c>
    </row>
    <row r="28" spans="1:100" ht="15" customHeight="1" x14ac:dyDescent="0.25">
      <c r="A28" s="61" t="s">
        <v>187</v>
      </c>
      <c r="B28" s="60">
        <v>57355</v>
      </c>
      <c r="C28" s="60">
        <v>110498</v>
      </c>
      <c r="D28" s="60">
        <f t="shared" si="37"/>
        <v>167853</v>
      </c>
      <c r="E28" s="60"/>
      <c r="F28" s="60">
        <v>764105</v>
      </c>
      <c r="G28" s="60">
        <f t="shared" si="38"/>
        <v>764105</v>
      </c>
      <c r="H28" s="60"/>
      <c r="I28" s="60"/>
      <c r="J28" s="60">
        <v>27732</v>
      </c>
      <c r="K28" s="60"/>
      <c r="L28" s="60"/>
      <c r="M28" s="60">
        <f t="shared" si="39"/>
        <v>0</v>
      </c>
      <c r="N28" s="60">
        <v>135185</v>
      </c>
      <c r="O28" s="60">
        <v>691636</v>
      </c>
      <c r="P28" s="60">
        <f t="shared" si="40"/>
        <v>826821</v>
      </c>
      <c r="Q28" s="60">
        <v>143131</v>
      </c>
      <c r="R28" s="60">
        <v>1207597</v>
      </c>
      <c r="S28" s="60">
        <f t="shared" si="41"/>
        <v>1350728</v>
      </c>
      <c r="T28" s="60">
        <v>1892791.98</v>
      </c>
      <c r="U28" s="60">
        <v>2509049.84</v>
      </c>
      <c r="V28" s="60">
        <f t="shared" si="42"/>
        <v>4401841.82</v>
      </c>
      <c r="W28" s="60"/>
      <c r="X28" s="60"/>
      <c r="Y28" s="60">
        <f t="shared" si="43"/>
        <v>0</v>
      </c>
      <c r="Z28" s="60">
        <v>127</v>
      </c>
      <c r="AA28" s="60">
        <v>571</v>
      </c>
      <c r="AB28" s="60">
        <f t="shared" si="44"/>
        <v>698</v>
      </c>
      <c r="AC28" s="60"/>
      <c r="AD28" s="60">
        <v>1002489</v>
      </c>
      <c r="AE28" s="60">
        <f t="shared" si="45"/>
        <v>1002489</v>
      </c>
      <c r="AF28" s="60">
        <v>1224170</v>
      </c>
      <c r="AG28" s="60">
        <v>5541220</v>
      </c>
      <c r="AH28" s="60">
        <f t="shared" si="46"/>
        <v>6765390</v>
      </c>
      <c r="AI28" s="60">
        <v>413681</v>
      </c>
      <c r="AJ28" s="60">
        <v>1296644</v>
      </c>
      <c r="AK28" s="60">
        <f t="shared" si="47"/>
        <v>1710325</v>
      </c>
      <c r="AL28" s="60">
        <v>1595662</v>
      </c>
      <c r="AM28" s="60">
        <v>4330979</v>
      </c>
      <c r="AN28" s="60">
        <f t="shared" si="48"/>
        <v>5926641</v>
      </c>
      <c r="AO28" s="60">
        <v>107299</v>
      </c>
      <c r="AP28" s="60">
        <v>392805</v>
      </c>
      <c r="AQ28" s="60">
        <f t="shared" si="49"/>
        <v>500104</v>
      </c>
      <c r="AR28" s="60">
        <v>37491</v>
      </c>
      <c r="AS28" s="60">
        <v>124153</v>
      </c>
      <c r="AT28" s="60">
        <f t="shared" si="50"/>
        <v>161644</v>
      </c>
      <c r="AU28" s="60">
        <v>135839</v>
      </c>
      <c r="AV28" s="60">
        <v>309764</v>
      </c>
      <c r="AW28" s="60">
        <f t="shared" si="51"/>
        <v>445603</v>
      </c>
      <c r="AX28" s="60">
        <v>120864</v>
      </c>
      <c r="AY28" s="60">
        <v>688184</v>
      </c>
      <c r="AZ28" s="60">
        <f t="shared" si="52"/>
        <v>809048</v>
      </c>
      <c r="BA28" s="60">
        <v>352269</v>
      </c>
      <c r="BB28" s="60">
        <v>157999</v>
      </c>
      <c r="BC28" s="60">
        <f t="shared" si="53"/>
        <v>510268</v>
      </c>
      <c r="BD28" s="60">
        <v>92134</v>
      </c>
      <c r="BE28" s="60">
        <v>434950</v>
      </c>
      <c r="BF28" s="60">
        <f t="shared" si="54"/>
        <v>527084</v>
      </c>
      <c r="BG28" s="60">
        <v>37830</v>
      </c>
      <c r="BH28" s="60">
        <v>7142847</v>
      </c>
      <c r="BI28" s="60">
        <f>BH28+BG28</f>
        <v>7180677</v>
      </c>
      <c r="BJ28" s="60">
        <v>79378</v>
      </c>
      <c r="BK28" s="60">
        <v>131556</v>
      </c>
      <c r="BL28" s="60">
        <f t="shared" si="56"/>
        <v>210934</v>
      </c>
      <c r="BM28" s="60"/>
      <c r="BN28" s="60"/>
      <c r="BO28" s="60">
        <f t="shared" si="57"/>
        <v>0</v>
      </c>
      <c r="BP28" s="60">
        <v>542116</v>
      </c>
      <c r="BQ28" s="60">
        <v>2410626</v>
      </c>
      <c r="BR28" s="60">
        <f t="shared" si="67"/>
        <v>2952742</v>
      </c>
      <c r="BS28" s="60">
        <v>58703</v>
      </c>
      <c r="BT28" s="60">
        <v>111302</v>
      </c>
      <c r="BU28" s="60">
        <f t="shared" si="59"/>
        <v>170005</v>
      </c>
      <c r="BV28" s="60">
        <v>339527</v>
      </c>
      <c r="BW28" s="60">
        <v>1686240</v>
      </c>
      <c r="BX28" s="60">
        <f t="shared" si="60"/>
        <v>2025767</v>
      </c>
      <c r="BY28" s="60"/>
      <c r="BZ28" s="60">
        <v>3671120</v>
      </c>
      <c r="CA28" s="60">
        <f t="shared" si="61"/>
        <v>3671120</v>
      </c>
      <c r="CB28" s="60"/>
      <c r="CC28" s="60"/>
      <c r="CD28" s="60">
        <f t="shared" si="72"/>
        <v>0</v>
      </c>
      <c r="CE28" s="60">
        <v>1062972</v>
      </c>
      <c r="CF28" s="60">
        <v>1752752</v>
      </c>
      <c r="CG28" s="60">
        <f t="shared" si="63"/>
        <v>2815724</v>
      </c>
      <c r="CH28" s="60"/>
      <c r="CI28" s="60"/>
      <c r="CJ28" s="60">
        <f t="shared" si="64"/>
        <v>0</v>
      </c>
      <c r="CK28" s="60"/>
      <c r="CL28" s="60"/>
      <c r="CM28" s="60">
        <f t="shared" si="65"/>
        <v>0</v>
      </c>
      <c r="CN28" s="60"/>
      <c r="CO28" s="60"/>
      <c r="CP28" s="60">
        <v>13669656</v>
      </c>
      <c r="CQ28" s="60"/>
      <c r="CR28" s="60"/>
      <c r="CS28" s="60">
        <v>8554254</v>
      </c>
      <c r="CT28" s="60">
        <v>17566</v>
      </c>
      <c r="CU28" s="60">
        <v>45767</v>
      </c>
      <c r="CV28" s="60">
        <f t="shared" si="70"/>
        <v>63333</v>
      </c>
    </row>
    <row r="29" spans="1:100" ht="15" customHeight="1" x14ac:dyDescent="0.25">
      <c r="A29" s="61" t="s">
        <v>188</v>
      </c>
      <c r="B29" s="60">
        <v>34177</v>
      </c>
      <c r="C29" s="60">
        <v>65844</v>
      </c>
      <c r="D29" s="60">
        <f t="shared" si="37"/>
        <v>100021</v>
      </c>
      <c r="E29" s="60"/>
      <c r="F29" s="60"/>
      <c r="G29" s="60">
        <f t="shared" si="38"/>
        <v>0</v>
      </c>
      <c r="H29" s="60"/>
      <c r="I29" s="60"/>
      <c r="J29" s="60">
        <v>3250643</v>
      </c>
      <c r="K29" s="60">
        <v>2033209</v>
      </c>
      <c r="L29" s="60">
        <v>4148599</v>
      </c>
      <c r="M29" s="60">
        <f t="shared" si="39"/>
        <v>6181808</v>
      </c>
      <c r="N29" s="60">
        <v>186150</v>
      </c>
      <c r="O29" s="60">
        <v>952382</v>
      </c>
      <c r="P29" s="60">
        <f t="shared" si="40"/>
        <v>1138532</v>
      </c>
      <c r="Q29" s="60">
        <v>652779</v>
      </c>
      <c r="R29" s="60">
        <v>5507525</v>
      </c>
      <c r="S29" s="60">
        <f t="shared" si="41"/>
        <v>6160304</v>
      </c>
      <c r="T29" s="60">
        <f>900301.02+387050.3</f>
        <v>1287351.32</v>
      </c>
      <c r="U29" s="60">
        <f>1193422.28+513066.68</f>
        <v>1706488.96</v>
      </c>
      <c r="V29" s="60">
        <f t="shared" si="42"/>
        <v>2993840.2800000003</v>
      </c>
      <c r="W29" s="60"/>
      <c r="X29" s="60"/>
      <c r="Y29" s="60">
        <f t="shared" si="43"/>
        <v>0</v>
      </c>
      <c r="Z29" s="60">
        <v>123904</v>
      </c>
      <c r="AA29" s="60">
        <v>556065</v>
      </c>
      <c r="AB29" s="60">
        <f t="shared" si="44"/>
        <v>679969</v>
      </c>
      <c r="AC29" s="60">
        <v>398841</v>
      </c>
      <c r="AD29" s="60">
        <v>761860</v>
      </c>
      <c r="AE29" s="60">
        <f t="shared" si="45"/>
        <v>1160701</v>
      </c>
      <c r="AF29" s="60">
        <v>322841</v>
      </c>
      <c r="AG29" s="60">
        <v>1461348</v>
      </c>
      <c r="AH29" s="60">
        <f t="shared" si="46"/>
        <v>1784189</v>
      </c>
      <c r="AI29" s="60">
        <v>254064</v>
      </c>
      <c r="AJ29" s="60">
        <v>796338</v>
      </c>
      <c r="AK29" s="60">
        <f t="shared" si="47"/>
        <v>1050402</v>
      </c>
      <c r="AL29" s="60">
        <v>1543611</v>
      </c>
      <c r="AM29" s="60">
        <v>5088347</v>
      </c>
      <c r="AN29" s="60">
        <f t="shared" si="48"/>
        <v>6631958</v>
      </c>
      <c r="AO29" s="60">
        <v>451434</v>
      </c>
      <c r="AP29" s="60">
        <v>1652623</v>
      </c>
      <c r="AQ29" s="60">
        <f t="shared" si="49"/>
        <v>2104057</v>
      </c>
      <c r="AR29" s="60">
        <v>162705</v>
      </c>
      <c r="AS29" s="60">
        <v>538803</v>
      </c>
      <c r="AT29" s="60">
        <f t="shared" si="50"/>
        <v>701508</v>
      </c>
      <c r="AU29" s="60">
        <v>467533</v>
      </c>
      <c r="AV29" s="60">
        <v>1135003</v>
      </c>
      <c r="AW29" s="60">
        <f t="shared" si="51"/>
        <v>1602536</v>
      </c>
      <c r="AX29" s="60">
        <v>186793</v>
      </c>
      <c r="AY29" s="60">
        <v>1063578</v>
      </c>
      <c r="AZ29" s="60">
        <f t="shared" si="52"/>
        <v>1250371</v>
      </c>
      <c r="BA29" s="60">
        <v>203335</v>
      </c>
      <c r="BB29" s="60">
        <v>201099</v>
      </c>
      <c r="BC29" s="60">
        <f t="shared" si="53"/>
        <v>404434</v>
      </c>
      <c r="BD29" s="60">
        <v>100472</v>
      </c>
      <c r="BE29" s="60">
        <v>649362</v>
      </c>
      <c r="BF29" s="60">
        <f t="shared" si="54"/>
        <v>749834</v>
      </c>
      <c r="BG29" s="60">
        <v>20076</v>
      </c>
      <c r="BH29" s="60">
        <v>3790736</v>
      </c>
      <c r="BI29" s="60">
        <f t="shared" si="55"/>
        <v>3810812</v>
      </c>
      <c r="BJ29" s="60"/>
      <c r="BK29" s="60">
        <v>249297</v>
      </c>
      <c r="BL29" s="60">
        <f t="shared" si="56"/>
        <v>249297</v>
      </c>
      <c r="BM29" s="60"/>
      <c r="BN29" s="60"/>
      <c r="BO29" s="60">
        <f t="shared" si="57"/>
        <v>0</v>
      </c>
      <c r="BP29" s="60">
        <v>1455930</v>
      </c>
      <c r="BQ29" s="60">
        <v>6474088</v>
      </c>
      <c r="BR29" s="60">
        <f t="shared" si="67"/>
        <v>7930018</v>
      </c>
      <c r="BS29" s="60">
        <v>121702</v>
      </c>
      <c r="BT29" s="60">
        <v>230751</v>
      </c>
      <c r="BU29" s="60">
        <f t="shared" si="59"/>
        <v>352453</v>
      </c>
      <c r="BV29" s="60">
        <v>864160</v>
      </c>
      <c r="BW29" s="60">
        <v>4291791</v>
      </c>
      <c r="BX29" s="60">
        <f t="shared" si="60"/>
        <v>5155951</v>
      </c>
      <c r="BY29" s="60"/>
      <c r="BZ29" s="60">
        <v>2210035</v>
      </c>
      <c r="CA29" s="60">
        <f t="shared" si="61"/>
        <v>2210035</v>
      </c>
      <c r="CB29" s="60"/>
      <c r="CC29" s="60"/>
      <c r="CD29" s="60">
        <f t="shared" si="72"/>
        <v>0</v>
      </c>
      <c r="CE29" s="60"/>
      <c r="CF29" s="60"/>
      <c r="CG29" s="60">
        <f t="shared" si="63"/>
        <v>0</v>
      </c>
      <c r="CH29" s="60">
        <v>648846</v>
      </c>
      <c r="CI29" s="60">
        <v>2747837</v>
      </c>
      <c r="CJ29" s="60">
        <f t="shared" si="64"/>
        <v>3396683</v>
      </c>
      <c r="CK29" s="60">
        <v>1241075</v>
      </c>
      <c r="CL29" s="60">
        <v>2900402</v>
      </c>
      <c r="CM29" s="60">
        <f t="shared" si="65"/>
        <v>4141477</v>
      </c>
      <c r="CN29" s="60"/>
      <c r="CO29" s="60"/>
      <c r="CP29" s="60">
        <v>1247591</v>
      </c>
      <c r="CQ29" s="60"/>
      <c r="CR29" s="60"/>
      <c r="CS29" s="60">
        <v>2658137</v>
      </c>
      <c r="CT29" s="60">
        <v>501015</v>
      </c>
      <c r="CU29" s="60">
        <v>1305373</v>
      </c>
      <c r="CV29" s="60">
        <f t="shared" si="70"/>
        <v>1806388</v>
      </c>
    </row>
    <row r="30" spans="1:100" ht="15" customHeight="1" x14ac:dyDescent="0.25">
      <c r="A30" s="61" t="s">
        <v>198</v>
      </c>
      <c r="B30" s="60"/>
      <c r="C30" s="60"/>
      <c r="D30" s="60">
        <f t="shared" si="37"/>
        <v>0</v>
      </c>
      <c r="E30" s="60"/>
      <c r="F30" s="60"/>
      <c r="G30" s="60">
        <f t="shared" si="38"/>
        <v>0</v>
      </c>
      <c r="H30" s="60"/>
      <c r="I30" s="60"/>
      <c r="J30" s="60">
        <f t="shared" si="71"/>
        <v>0</v>
      </c>
      <c r="K30" s="60"/>
      <c r="L30" s="60"/>
      <c r="M30" s="60">
        <f t="shared" si="39"/>
        <v>0</v>
      </c>
      <c r="N30" s="60"/>
      <c r="O30" s="60"/>
      <c r="P30" s="60">
        <f t="shared" si="40"/>
        <v>0</v>
      </c>
      <c r="Q30" s="60"/>
      <c r="R30" s="60"/>
      <c r="S30" s="60">
        <f t="shared" si="41"/>
        <v>0</v>
      </c>
      <c r="T30" s="60"/>
      <c r="U30" s="60"/>
      <c r="V30" s="60">
        <f t="shared" si="42"/>
        <v>0</v>
      </c>
      <c r="W30" s="60"/>
      <c r="X30" s="60"/>
      <c r="Y30" s="60">
        <f t="shared" si="43"/>
        <v>0</v>
      </c>
      <c r="Z30" s="60"/>
      <c r="AA30" s="60"/>
      <c r="AB30" s="60">
        <f t="shared" si="44"/>
        <v>0</v>
      </c>
      <c r="AC30" s="60"/>
      <c r="AD30" s="60"/>
      <c r="AE30" s="60">
        <f t="shared" si="45"/>
        <v>0</v>
      </c>
      <c r="AF30" s="60"/>
      <c r="AG30" s="60"/>
      <c r="AH30" s="60">
        <f t="shared" si="46"/>
        <v>0</v>
      </c>
      <c r="AI30" s="60"/>
      <c r="AJ30" s="60"/>
      <c r="AK30" s="60">
        <f t="shared" si="47"/>
        <v>0</v>
      </c>
      <c r="AL30" s="60"/>
      <c r="AM30" s="60"/>
      <c r="AN30" s="60">
        <f t="shared" si="48"/>
        <v>0</v>
      </c>
      <c r="AO30" s="60">
        <v>42911</v>
      </c>
      <c r="AP30" s="60">
        <v>157089</v>
      </c>
      <c r="AQ30" s="60">
        <f t="shared" si="49"/>
        <v>200000</v>
      </c>
      <c r="AR30" s="60"/>
      <c r="AS30" s="60"/>
      <c r="AT30" s="60">
        <f t="shared" si="50"/>
        <v>0</v>
      </c>
      <c r="AU30" s="60"/>
      <c r="AV30" s="60"/>
      <c r="AW30" s="60">
        <f t="shared" si="51"/>
        <v>0</v>
      </c>
      <c r="AX30" s="60"/>
      <c r="AY30" s="60"/>
      <c r="AZ30" s="60">
        <f t="shared" si="52"/>
        <v>0</v>
      </c>
      <c r="BA30" s="60"/>
      <c r="BB30" s="60"/>
      <c r="BC30" s="60">
        <f t="shared" si="53"/>
        <v>0</v>
      </c>
      <c r="BD30" s="60"/>
      <c r="BE30" s="60"/>
      <c r="BF30" s="60">
        <f t="shared" si="54"/>
        <v>0</v>
      </c>
      <c r="BG30" s="60"/>
      <c r="BH30" s="60"/>
      <c r="BI30" s="60">
        <f t="shared" si="55"/>
        <v>0</v>
      </c>
      <c r="BJ30" s="60"/>
      <c r="BK30" s="60"/>
      <c r="BL30" s="60">
        <f t="shared" si="56"/>
        <v>0</v>
      </c>
      <c r="BM30" s="60"/>
      <c r="BN30" s="60"/>
      <c r="BO30" s="60">
        <f t="shared" si="57"/>
        <v>0</v>
      </c>
      <c r="BP30" s="60"/>
      <c r="BQ30" s="60"/>
      <c r="BR30" s="60">
        <f t="shared" si="67"/>
        <v>0</v>
      </c>
      <c r="BS30" s="60"/>
      <c r="BT30" s="60"/>
      <c r="BU30" s="60">
        <f t="shared" si="59"/>
        <v>0</v>
      </c>
      <c r="BV30" s="60"/>
      <c r="BW30" s="60"/>
      <c r="BX30" s="60">
        <f t="shared" si="60"/>
        <v>0</v>
      </c>
      <c r="BY30" s="60"/>
      <c r="BZ30" s="60"/>
      <c r="CA30" s="60">
        <f t="shared" si="61"/>
        <v>0</v>
      </c>
      <c r="CB30" s="60"/>
      <c r="CC30" s="60"/>
      <c r="CD30" s="60">
        <f t="shared" si="72"/>
        <v>0</v>
      </c>
      <c r="CE30" s="60"/>
      <c r="CF30" s="60"/>
      <c r="CG30" s="60">
        <f t="shared" si="63"/>
        <v>0</v>
      </c>
      <c r="CH30" s="60"/>
      <c r="CI30" s="60"/>
      <c r="CJ30" s="60">
        <f t="shared" si="64"/>
        <v>0</v>
      </c>
      <c r="CK30" s="60"/>
      <c r="CL30" s="60"/>
      <c r="CM30" s="60">
        <f t="shared" si="65"/>
        <v>0</v>
      </c>
      <c r="CN30" s="60"/>
      <c r="CO30" s="60"/>
      <c r="CP30" s="60">
        <f t="shared" si="68"/>
        <v>0</v>
      </c>
      <c r="CQ30" s="60"/>
      <c r="CR30" s="60"/>
      <c r="CS30" s="60">
        <f t="shared" si="69"/>
        <v>0</v>
      </c>
      <c r="CT30" s="60"/>
      <c r="CU30" s="60"/>
      <c r="CV30" s="60">
        <f t="shared" si="70"/>
        <v>0</v>
      </c>
    </row>
    <row r="31" spans="1:100" ht="15" customHeight="1" x14ac:dyDescent="0.25">
      <c r="A31" s="61" t="s">
        <v>199</v>
      </c>
      <c r="B31" s="60">
        <v>99956</v>
      </c>
      <c r="C31" s="60">
        <v>192573</v>
      </c>
      <c r="D31" s="60">
        <f t="shared" si="37"/>
        <v>292529</v>
      </c>
      <c r="E31" s="60"/>
      <c r="F31" s="60">
        <v>30000</v>
      </c>
      <c r="G31" s="60">
        <f t="shared" si="38"/>
        <v>30000</v>
      </c>
      <c r="H31" s="60"/>
      <c r="I31" s="60"/>
      <c r="J31" s="60">
        <v>8974900</v>
      </c>
      <c r="K31" s="60"/>
      <c r="L31" s="60"/>
      <c r="M31" s="60">
        <f t="shared" si="39"/>
        <v>0</v>
      </c>
      <c r="N31" s="60">
        <v>40875</v>
      </c>
      <c r="O31" s="60">
        <v>209125</v>
      </c>
      <c r="P31" s="60">
        <f t="shared" si="40"/>
        <v>250000</v>
      </c>
      <c r="Q31" s="60"/>
      <c r="R31" s="60"/>
      <c r="S31" s="60">
        <f t="shared" si="41"/>
        <v>0</v>
      </c>
      <c r="T31" s="60">
        <v>175854.53</v>
      </c>
      <c r="U31" s="60">
        <v>233109.5</v>
      </c>
      <c r="V31" s="60">
        <f t="shared" si="42"/>
        <v>408964.03</v>
      </c>
      <c r="W31" s="60"/>
      <c r="X31" s="60"/>
      <c r="Y31" s="60">
        <f t="shared" si="43"/>
        <v>0</v>
      </c>
      <c r="Z31" s="60">
        <v>87098</v>
      </c>
      <c r="AA31" s="60">
        <v>390884</v>
      </c>
      <c r="AB31" s="60">
        <f t="shared" si="44"/>
        <v>477982</v>
      </c>
      <c r="AC31" s="60"/>
      <c r="AD31" s="60"/>
      <c r="AE31" s="60">
        <f t="shared" si="45"/>
        <v>0</v>
      </c>
      <c r="AF31" s="60">
        <v>731076</v>
      </c>
      <c r="AG31" s="60">
        <v>3309226</v>
      </c>
      <c r="AH31" s="60">
        <f t="shared" si="46"/>
        <v>4040302</v>
      </c>
      <c r="AI31" s="60">
        <v>294831</v>
      </c>
      <c r="AJ31" s="60">
        <v>924119</v>
      </c>
      <c r="AK31" s="60">
        <f t="shared" si="47"/>
        <v>1218950</v>
      </c>
      <c r="AL31" s="60"/>
      <c r="AM31" s="60"/>
      <c r="AN31" s="60">
        <f t="shared" si="48"/>
        <v>0</v>
      </c>
      <c r="AO31" s="60"/>
      <c r="AP31" s="60"/>
      <c r="AQ31" s="60">
        <f t="shared" si="49"/>
        <v>0</v>
      </c>
      <c r="AR31" s="60"/>
      <c r="AS31" s="60"/>
      <c r="AT31" s="60">
        <f t="shared" si="50"/>
        <v>0</v>
      </c>
      <c r="AU31" s="60"/>
      <c r="AV31" s="60"/>
      <c r="AW31" s="60">
        <f t="shared" si="51"/>
        <v>0</v>
      </c>
      <c r="AX31" s="60">
        <v>54602</v>
      </c>
      <c r="AY31" s="60">
        <v>310898</v>
      </c>
      <c r="AZ31" s="60">
        <f t="shared" si="52"/>
        <v>365500</v>
      </c>
      <c r="BA31" s="60"/>
      <c r="BB31" s="60"/>
      <c r="BC31" s="60">
        <f t="shared" si="53"/>
        <v>0</v>
      </c>
      <c r="BD31" s="60">
        <v>318235</v>
      </c>
      <c r="BE31" s="60">
        <v>628600</v>
      </c>
      <c r="BF31" s="60">
        <f t="shared" si="54"/>
        <v>946835</v>
      </c>
      <c r="BG31" s="60">
        <v>41769</v>
      </c>
      <c r="BH31" s="60">
        <v>7886542</v>
      </c>
      <c r="BI31" s="60">
        <f t="shared" si="55"/>
        <v>7928311</v>
      </c>
      <c r="BJ31" s="60"/>
      <c r="BK31" s="60"/>
      <c r="BL31" s="60">
        <f t="shared" si="56"/>
        <v>0</v>
      </c>
      <c r="BM31" s="60"/>
      <c r="BN31" s="60"/>
      <c r="BO31" s="60">
        <f t="shared" si="57"/>
        <v>0</v>
      </c>
      <c r="BP31" s="60">
        <v>1034204</v>
      </c>
      <c r="BQ31" s="60">
        <v>4598796</v>
      </c>
      <c r="BR31" s="60">
        <f t="shared" si="67"/>
        <v>5633000</v>
      </c>
      <c r="BS31" s="60"/>
      <c r="BT31" s="60"/>
      <c r="BU31" s="60">
        <f t="shared" si="59"/>
        <v>0</v>
      </c>
      <c r="BV31" s="60">
        <v>77685</v>
      </c>
      <c r="BW31" s="60">
        <v>385815</v>
      </c>
      <c r="BX31" s="60">
        <f t="shared" si="60"/>
        <v>463500</v>
      </c>
      <c r="BY31" s="60"/>
      <c r="BZ31" s="60"/>
      <c r="CA31" s="60">
        <f t="shared" si="61"/>
        <v>0</v>
      </c>
      <c r="CB31" s="60"/>
      <c r="CC31" s="60"/>
      <c r="CD31" s="60">
        <f t="shared" si="72"/>
        <v>0</v>
      </c>
      <c r="CE31" s="60"/>
      <c r="CF31" s="60"/>
      <c r="CG31" s="60">
        <f t="shared" si="63"/>
        <v>0</v>
      </c>
      <c r="CH31" s="60">
        <v>234934</v>
      </c>
      <c r="CI31" s="60">
        <v>994937</v>
      </c>
      <c r="CJ31" s="60">
        <f t="shared" si="64"/>
        <v>1229871</v>
      </c>
      <c r="CK31" s="60"/>
      <c r="CL31" s="60"/>
      <c r="CM31" s="60">
        <f t="shared" si="65"/>
        <v>0</v>
      </c>
      <c r="CN31" s="60"/>
      <c r="CO31" s="60"/>
      <c r="CP31" s="60">
        <f t="shared" si="68"/>
        <v>0</v>
      </c>
      <c r="CQ31" s="60"/>
      <c r="CR31" s="60"/>
      <c r="CS31" s="60">
        <f t="shared" si="69"/>
        <v>0</v>
      </c>
      <c r="CT31" s="60">
        <v>257526</v>
      </c>
      <c r="CU31" s="60">
        <v>670974</v>
      </c>
      <c r="CV31" s="60">
        <f t="shared" si="70"/>
        <v>928500</v>
      </c>
    </row>
    <row r="32" spans="1:100" ht="15" customHeight="1" x14ac:dyDescent="0.25">
      <c r="A32" s="61" t="s">
        <v>200</v>
      </c>
      <c r="B32" s="60"/>
      <c r="C32" s="60"/>
      <c r="D32" s="60">
        <f t="shared" si="37"/>
        <v>0</v>
      </c>
      <c r="E32" s="60"/>
      <c r="F32" s="60"/>
      <c r="G32" s="60">
        <f t="shared" si="38"/>
        <v>0</v>
      </c>
      <c r="H32" s="60"/>
      <c r="I32" s="60"/>
      <c r="J32" s="60">
        <f t="shared" si="71"/>
        <v>0</v>
      </c>
      <c r="K32" s="60"/>
      <c r="L32" s="60"/>
      <c r="M32" s="60">
        <f t="shared" si="39"/>
        <v>0</v>
      </c>
      <c r="N32" s="60"/>
      <c r="O32" s="60"/>
      <c r="P32" s="60">
        <f t="shared" si="40"/>
        <v>0</v>
      </c>
      <c r="Q32" s="60">
        <v>462910</v>
      </c>
      <c r="R32" s="60">
        <v>3905590</v>
      </c>
      <c r="S32" s="60">
        <f t="shared" si="41"/>
        <v>4368500</v>
      </c>
      <c r="T32" s="60"/>
      <c r="U32" s="60"/>
      <c r="V32" s="60">
        <f t="shared" si="42"/>
        <v>0</v>
      </c>
      <c r="W32" s="60"/>
      <c r="X32" s="60"/>
      <c r="Y32" s="60">
        <f t="shared" si="43"/>
        <v>0</v>
      </c>
      <c r="Z32" s="60"/>
      <c r="AA32" s="60"/>
      <c r="AB32" s="60">
        <f t="shared" si="44"/>
        <v>0</v>
      </c>
      <c r="AC32" s="60"/>
      <c r="AD32" s="60"/>
      <c r="AE32" s="60">
        <f t="shared" si="45"/>
        <v>0</v>
      </c>
      <c r="AF32" s="60"/>
      <c r="AG32" s="60"/>
      <c r="AH32" s="60">
        <f t="shared" si="46"/>
        <v>0</v>
      </c>
      <c r="AI32" s="60"/>
      <c r="AJ32" s="60"/>
      <c r="AK32" s="60">
        <f t="shared" si="47"/>
        <v>0</v>
      </c>
      <c r="AL32" s="60"/>
      <c r="AM32" s="60"/>
      <c r="AN32" s="60">
        <f t="shared" si="48"/>
        <v>0</v>
      </c>
      <c r="AO32" s="60"/>
      <c r="AP32" s="60"/>
      <c r="AQ32" s="60">
        <f t="shared" si="49"/>
        <v>0</v>
      </c>
      <c r="AR32" s="60"/>
      <c r="AS32" s="60"/>
      <c r="AT32" s="60">
        <f t="shared" si="50"/>
        <v>0</v>
      </c>
      <c r="AU32" s="60"/>
      <c r="AV32" s="60"/>
      <c r="AW32" s="60">
        <f t="shared" si="51"/>
        <v>0</v>
      </c>
      <c r="AX32" s="60"/>
      <c r="AY32" s="60"/>
      <c r="AZ32" s="60">
        <f t="shared" si="52"/>
        <v>0</v>
      </c>
      <c r="BA32" s="60"/>
      <c r="BB32" s="60"/>
      <c r="BC32" s="60">
        <f t="shared" si="53"/>
        <v>0</v>
      </c>
      <c r="BD32" s="60"/>
      <c r="BE32" s="60"/>
      <c r="BF32" s="60">
        <f t="shared" si="54"/>
        <v>0</v>
      </c>
      <c r="BG32" s="60"/>
      <c r="BH32" s="60"/>
      <c r="BI32" s="60">
        <f>BH32+BG32</f>
        <v>0</v>
      </c>
      <c r="BJ32" s="60">
        <v>122500</v>
      </c>
      <c r="BK32" s="60"/>
      <c r="BL32" s="60">
        <f t="shared" si="56"/>
        <v>122500</v>
      </c>
      <c r="BM32" s="60"/>
      <c r="BN32" s="60"/>
      <c r="BO32" s="60">
        <f t="shared" si="57"/>
        <v>0</v>
      </c>
      <c r="BP32" s="60"/>
      <c r="BQ32" s="60"/>
      <c r="BR32" s="60">
        <f t="shared" si="67"/>
        <v>0</v>
      </c>
      <c r="BS32" s="60">
        <v>42980</v>
      </c>
      <c r="BT32" s="60">
        <v>81491</v>
      </c>
      <c r="BU32" s="60">
        <f t="shared" si="59"/>
        <v>124471</v>
      </c>
      <c r="BV32" s="60"/>
      <c r="BW32" s="60"/>
      <c r="BX32" s="60">
        <f t="shared" si="60"/>
        <v>0</v>
      </c>
      <c r="BY32" s="60"/>
      <c r="BZ32" s="60"/>
      <c r="CA32" s="60">
        <f t="shared" si="61"/>
        <v>0</v>
      </c>
      <c r="CB32" s="60"/>
      <c r="CC32" s="60"/>
      <c r="CD32" s="60">
        <f t="shared" si="72"/>
        <v>0</v>
      </c>
      <c r="CE32" s="60"/>
      <c r="CF32" s="60"/>
      <c r="CG32" s="60">
        <f t="shared" si="63"/>
        <v>0</v>
      </c>
      <c r="CH32" s="60"/>
      <c r="CI32" s="60"/>
      <c r="CJ32" s="60">
        <f t="shared" si="64"/>
        <v>0</v>
      </c>
      <c r="CK32" s="60"/>
      <c r="CL32" s="60"/>
      <c r="CM32" s="60">
        <f t="shared" si="65"/>
        <v>0</v>
      </c>
      <c r="CN32" s="60"/>
      <c r="CO32" s="60"/>
      <c r="CP32" s="60">
        <f t="shared" si="68"/>
        <v>0</v>
      </c>
      <c r="CQ32" s="60"/>
      <c r="CR32" s="60"/>
      <c r="CS32" s="60">
        <f t="shared" si="69"/>
        <v>0</v>
      </c>
      <c r="CT32" s="60"/>
      <c r="CU32" s="60"/>
      <c r="CV32" s="60">
        <f t="shared" si="70"/>
        <v>0</v>
      </c>
    </row>
    <row r="33" spans="1:100" ht="15" customHeight="1" x14ac:dyDescent="0.25">
      <c r="A33" s="61" t="s">
        <v>201</v>
      </c>
      <c r="B33" s="60"/>
      <c r="C33" s="60"/>
      <c r="D33" s="60">
        <f t="shared" si="37"/>
        <v>0</v>
      </c>
      <c r="E33" s="60"/>
      <c r="F33" s="60"/>
      <c r="G33" s="60">
        <f t="shared" si="38"/>
        <v>0</v>
      </c>
      <c r="H33" s="60"/>
      <c r="I33" s="60"/>
      <c r="J33" s="60">
        <f t="shared" si="71"/>
        <v>0</v>
      </c>
      <c r="K33" s="60"/>
      <c r="L33" s="60"/>
      <c r="M33" s="60">
        <f t="shared" si="39"/>
        <v>0</v>
      </c>
      <c r="N33" s="60"/>
      <c r="O33" s="60"/>
      <c r="P33" s="60">
        <f t="shared" si="40"/>
        <v>0</v>
      </c>
      <c r="Q33" s="60"/>
      <c r="R33" s="60"/>
      <c r="S33" s="60">
        <f t="shared" si="41"/>
        <v>0</v>
      </c>
      <c r="T33" s="60"/>
      <c r="U33" s="60"/>
      <c r="V33" s="60">
        <f t="shared" si="42"/>
        <v>0</v>
      </c>
      <c r="W33" s="60"/>
      <c r="X33" s="60"/>
      <c r="Y33" s="60">
        <f t="shared" si="43"/>
        <v>0</v>
      </c>
      <c r="Z33" s="60"/>
      <c r="AA33" s="60"/>
      <c r="AB33" s="60">
        <f t="shared" si="44"/>
        <v>0</v>
      </c>
      <c r="AC33" s="60"/>
      <c r="AD33" s="60"/>
      <c r="AE33" s="60">
        <f t="shared" si="45"/>
        <v>0</v>
      </c>
      <c r="AF33" s="60"/>
      <c r="AG33" s="60"/>
      <c r="AH33" s="60">
        <f t="shared" si="46"/>
        <v>0</v>
      </c>
      <c r="AI33" s="60"/>
      <c r="AJ33" s="60"/>
      <c r="AK33" s="60">
        <f t="shared" si="47"/>
        <v>0</v>
      </c>
      <c r="AL33" s="60"/>
      <c r="AM33" s="60"/>
      <c r="AN33" s="60">
        <f t="shared" si="48"/>
        <v>0</v>
      </c>
      <c r="AO33" s="60"/>
      <c r="AP33" s="60"/>
      <c r="AQ33" s="60">
        <f t="shared" si="49"/>
        <v>0</v>
      </c>
      <c r="AR33" s="60"/>
      <c r="AS33" s="60"/>
      <c r="AT33" s="60">
        <f t="shared" si="50"/>
        <v>0</v>
      </c>
      <c r="AU33" s="60"/>
      <c r="AV33" s="60"/>
      <c r="AW33" s="60">
        <f t="shared" si="51"/>
        <v>0</v>
      </c>
      <c r="AX33" s="60"/>
      <c r="AY33" s="60"/>
      <c r="AZ33" s="60">
        <f t="shared" si="52"/>
        <v>0</v>
      </c>
      <c r="BA33" s="60"/>
      <c r="BB33" s="60"/>
      <c r="BC33" s="60">
        <f t="shared" si="53"/>
        <v>0</v>
      </c>
      <c r="BD33" s="60"/>
      <c r="BE33" s="60"/>
      <c r="BF33" s="60">
        <f t="shared" si="54"/>
        <v>0</v>
      </c>
      <c r="BG33" s="60"/>
      <c r="BH33" s="60"/>
      <c r="BI33" s="60">
        <f t="shared" si="55"/>
        <v>0</v>
      </c>
      <c r="BJ33" s="60"/>
      <c r="BK33" s="60"/>
      <c r="BL33" s="60">
        <f t="shared" si="56"/>
        <v>0</v>
      </c>
      <c r="BM33" s="60"/>
      <c r="BN33" s="60"/>
      <c r="BO33" s="60">
        <f t="shared" si="57"/>
        <v>0</v>
      </c>
      <c r="BP33" s="60"/>
      <c r="BQ33" s="60"/>
      <c r="BR33" s="60">
        <f t="shared" si="67"/>
        <v>0</v>
      </c>
      <c r="BS33" s="60"/>
      <c r="BT33" s="60"/>
      <c r="BU33" s="60">
        <f t="shared" si="59"/>
        <v>0</v>
      </c>
      <c r="BV33" s="60"/>
      <c r="BW33" s="60"/>
      <c r="BX33" s="60">
        <f t="shared" si="60"/>
        <v>0</v>
      </c>
      <c r="BY33" s="60"/>
      <c r="BZ33" s="60"/>
      <c r="CA33" s="60">
        <f t="shared" si="61"/>
        <v>0</v>
      </c>
      <c r="CB33" s="60"/>
      <c r="CC33" s="60"/>
      <c r="CD33" s="60">
        <f t="shared" si="72"/>
        <v>0</v>
      </c>
      <c r="CE33" s="60"/>
      <c r="CF33" s="60"/>
      <c r="CG33" s="60">
        <f t="shared" si="63"/>
        <v>0</v>
      </c>
      <c r="CH33" s="60"/>
      <c r="CI33" s="60"/>
      <c r="CJ33" s="60">
        <f t="shared" si="64"/>
        <v>0</v>
      </c>
      <c r="CK33" s="60"/>
      <c r="CL33" s="60"/>
      <c r="CM33" s="60">
        <f t="shared" si="65"/>
        <v>0</v>
      </c>
      <c r="CN33" s="60"/>
      <c r="CO33" s="60"/>
      <c r="CP33" s="60">
        <f t="shared" si="68"/>
        <v>0</v>
      </c>
      <c r="CQ33" s="60"/>
      <c r="CR33" s="60"/>
      <c r="CS33" s="60">
        <f t="shared" si="69"/>
        <v>0</v>
      </c>
      <c r="CT33" s="60"/>
      <c r="CU33" s="60"/>
      <c r="CV33" s="60">
        <f t="shared" si="70"/>
        <v>0</v>
      </c>
    </row>
    <row r="34" spans="1:100" ht="15" customHeight="1" x14ac:dyDescent="0.25">
      <c r="A34" s="61" t="s">
        <v>315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>
        <v>8033</v>
      </c>
      <c r="Y34" s="60">
        <f t="shared" si="43"/>
        <v>8033</v>
      </c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>
        <f t="shared" si="72"/>
        <v>0</v>
      </c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>
        <f t="shared" si="69"/>
        <v>0</v>
      </c>
      <c r="CT34" s="60"/>
      <c r="CU34" s="60"/>
      <c r="CV34" s="60">
        <f t="shared" si="70"/>
        <v>0</v>
      </c>
    </row>
    <row r="35" spans="1:100" ht="15" customHeight="1" x14ac:dyDescent="0.25">
      <c r="A35" s="61" t="s">
        <v>193</v>
      </c>
      <c r="B35" s="60"/>
      <c r="C35" s="60"/>
      <c r="D35" s="60">
        <f t="shared" si="37"/>
        <v>0</v>
      </c>
      <c r="E35" s="60"/>
      <c r="F35" s="60">
        <v>150327</v>
      </c>
      <c r="G35" s="60">
        <f t="shared" si="38"/>
        <v>150327</v>
      </c>
      <c r="H35" s="60"/>
      <c r="I35" s="60"/>
      <c r="J35" s="60">
        <v>1525672</v>
      </c>
      <c r="K35" s="60">
        <v>249834</v>
      </c>
      <c r="L35" s="60">
        <v>5216818</v>
      </c>
      <c r="M35" s="60">
        <f t="shared" si="39"/>
        <v>5466652</v>
      </c>
      <c r="N35" s="60">
        <v>616352</v>
      </c>
      <c r="O35" s="60">
        <v>3153382</v>
      </c>
      <c r="P35" s="60">
        <f t="shared" si="40"/>
        <v>3769734</v>
      </c>
      <c r="Q35" s="60">
        <v>150676</v>
      </c>
      <c r="R35" s="60">
        <v>1271254</v>
      </c>
      <c r="S35" s="60">
        <f t="shared" si="41"/>
        <v>1421930</v>
      </c>
      <c r="T35" s="60">
        <v>563151.29</v>
      </c>
      <c r="U35" s="60">
        <v>746502.87</v>
      </c>
      <c r="V35" s="60">
        <f t="shared" si="42"/>
        <v>1309654.1600000001</v>
      </c>
      <c r="W35" s="60">
        <v>41430</v>
      </c>
      <c r="X35" s="60"/>
      <c r="Y35" s="60">
        <f t="shared" si="43"/>
        <v>41430</v>
      </c>
      <c r="Z35" s="60">
        <v>118809</v>
      </c>
      <c r="AA35" s="60">
        <v>533199</v>
      </c>
      <c r="AB35" s="60">
        <f t="shared" si="44"/>
        <v>652008</v>
      </c>
      <c r="AC35" s="60"/>
      <c r="AD35" s="60">
        <v>1692090</v>
      </c>
      <c r="AE35" s="60">
        <f t="shared" si="45"/>
        <v>1692090</v>
      </c>
      <c r="AF35" s="60">
        <v>252015</v>
      </c>
      <c r="AG35" s="60">
        <v>1140751</v>
      </c>
      <c r="AH35" s="60">
        <f t="shared" si="46"/>
        <v>1392766</v>
      </c>
      <c r="AI35" s="60">
        <v>110096</v>
      </c>
      <c r="AJ35" s="60">
        <v>345087</v>
      </c>
      <c r="AK35" s="60">
        <f t="shared" si="47"/>
        <v>455183</v>
      </c>
      <c r="AL35" s="60">
        <v>2012352</v>
      </c>
      <c r="AM35" s="60">
        <v>6633501</v>
      </c>
      <c r="AN35" s="60">
        <f t="shared" si="48"/>
        <v>8645853</v>
      </c>
      <c r="AO35" s="60">
        <v>346608</v>
      </c>
      <c r="AP35" s="60">
        <v>1268873</v>
      </c>
      <c r="AQ35" s="60">
        <f t="shared" si="49"/>
        <v>1615481</v>
      </c>
      <c r="AR35" s="60">
        <v>11672</v>
      </c>
      <c r="AS35" s="60">
        <v>38654</v>
      </c>
      <c r="AT35" s="60">
        <f t="shared" si="50"/>
        <v>50326</v>
      </c>
      <c r="AU35" s="60">
        <v>175286</v>
      </c>
      <c r="AV35" s="60">
        <v>425529</v>
      </c>
      <c r="AW35" s="60">
        <f t="shared" si="51"/>
        <v>600815</v>
      </c>
      <c r="AX35" s="60"/>
      <c r="AY35" s="60"/>
      <c r="AZ35" s="60">
        <f t="shared" si="52"/>
        <v>0</v>
      </c>
      <c r="BA35" s="60">
        <v>200320</v>
      </c>
      <c r="BB35" s="60">
        <v>50018</v>
      </c>
      <c r="BC35" s="60">
        <f t="shared" si="53"/>
        <v>250338</v>
      </c>
      <c r="BD35" s="60"/>
      <c r="BE35" s="60">
        <v>350076</v>
      </c>
      <c r="BF35" s="60">
        <f t="shared" si="54"/>
        <v>350076</v>
      </c>
      <c r="BG35" s="60">
        <v>19251</v>
      </c>
      <c r="BH35" s="60">
        <v>3634813</v>
      </c>
      <c r="BI35" s="60">
        <f t="shared" si="55"/>
        <v>3654064</v>
      </c>
      <c r="BJ35" s="60"/>
      <c r="BK35" s="60"/>
      <c r="BL35" s="60">
        <f t="shared" si="56"/>
        <v>0</v>
      </c>
      <c r="BM35" s="60"/>
      <c r="BN35" s="60"/>
      <c r="BO35" s="60">
        <f t="shared" si="57"/>
        <v>0</v>
      </c>
      <c r="BP35" s="60">
        <v>180538</v>
      </c>
      <c r="BQ35" s="60">
        <v>802801</v>
      </c>
      <c r="BR35" s="60">
        <f t="shared" si="67"/>
        <v>983339</v>
      </c>
      <c r="BS35" s="60">
        <v>17392</v>
      </c>
      <c r="BT35" s="60">
        <v>32975</v>
      </c>
      <c r="BU35" s="60">
        <f t="shared" si="59"/>
        <v>50367</v>
      </c>
      <c r="BV35" s="60">
        <v>117213</v>
      </c>
      <c r="BW35" s="60">
        <v>582129</v>
      </c>
      <c r="BX35" s="60">
        <f t="shared" si="60"/>
        <v>699342</v>
      </c>
      <c r="BY35" s="60"/>
      <c r="BZ35" s="60">
        <v>500000</v>
      </c>
      <c r="CA35" s="60">
        <f t="shared" si="61"/>
        <v>500000</v>
      </c>
      <c r="CB35" s="60"/>
      <c r="CC35" s="60">
        <v>793722</v>
      </c>
      <c r="CD35" s="60">
        <f t="shared" si="72"/>
        <v>793722</v>
      </c>
      <c r="CE35" s="60">
        <v>354647</v>
      </c>
      <c r="CF35" s="60">
        <v>584783</v>
      </c>
      <c r="CG35" s="60">
        <f t="shared" si="63"/>
        <v>939430</v>
      </c>
      <c r="CH35" s="60">
        <v>1193024</v>
      </c>
      <c r="CI35" s="60">
        <v>5052410</v>
      </c>
      <c r="CJ35" s="60">
        <f t="shared" si="64"/>
        <v>6245434</v>
      </c>
      <c r="CK35" s="60">
        <v>2606199</v>
      </c>
      <c r="CL35" s="60">
        <v>6090709</v>
      </c>
      <c r="CM35" s="60">
        <f t="shared" si="65"/>
        <v>8696908</v>
      </c>
      <c r="CN35" s="60"/>
      <c r="CO35" s="60"/>
      <c r="CP35" s="60">
        <v>3899165</v>
      </c>
      <c r="CQ35" s="60"/>
      <c r="CR35" s="60"/>
      <c r="CS35" s="60">
        <v>7513920</v>
      </c>
      <c r="CT35" s="60">
        <v>415248</v>
      </c>
      <c r="CU35" s="60">
        <v>1081911</v>
      </c>
      <c r="CV35" s="60">
        <f t="shared" si="70"/>
        <v>1497159</v>
      </c>
    </row>
    <row r="36" spans="1:100" x14ac:dyDescent="0.25">
      <c r="A36" s="61" t="s">
        <v>194</v>
      </c>
      <c r="B36" s="60">
        <v>22977</v>
      </c>
      <c r="C36" s="60">
        <v>44271</v>
      </c>
      <c r="D36" s="60">
        <f t="shared" si="37"/>
        <v>67248</v>
      </c>
      <c r="E36" s="60"/>
      <c r="F36" s="60">
        <v>99540</v>
      </c>
      <c r="G36" s="60">
        <f t="shared" si="38"/>
        <v>99540</v>
      </c>
      <c r="H36" s="60"/>
      <c r="I36" s="60"/>
      <c r="J36" s="60">
        <f t="shared" si="71"/>
        <v>0</v>
      </c>
      <c r="K36" s="60"/>
      <c r="L36" s="60"/>
      <c r="M36" s="60">
        <f t="shared" si="39"/>
        <v>0</v>
      </c>
      <c r="N36" s="60">
        <f>-42510+81889</f>
        <v>39379</v>
      </c>
      <c r="O36" s="60">
        <f>-217490+418959</f>
        <v>201469</v>
      </c>
      <c r="P36" s="60">
        <f t="shared" si="40"/>
        <v>240848</v>
      </c>
      <c r="Q36" s="60">
        <v>124827</v>
      </c>
      <c r="R36" s="60">
        <v>1053166</v>
      </c>
      <c r="S36" s="60">
        <f t="shared" si="41"/>
        <v>1177993</v>
      </c>
      <c r="T36" s="60">
        <v>214900.06</v>
      </c>
      <c r="U36" s="60">
        <v>284867.51</v>
      </c>
      <c r="V36" s="60">
        <f t="shared" si="42"/>
        <v>499767.57</v>
      </c>
      <c r="W36" s="60"/>
      <c r="X36" s="60">
        <v>1736</v>
      </c>
      <c r="Y36" s="60">
        <f t="shared" si="43"/>
        <v>1736</v>
      </c>
      <c r="Z36" s="60">
        <f>-1822+25491</f>
        <v>23669</v>
      </c>
      <c r="AA36" s="60">
        <f>-8178+114398</f>
        <v>106220</v>
      </c>
      <c r="AB36" s="60">
        <f t="shared" si="44"/>
        <v>129889</v>
      </c>
      <c r="AC36" s="60"/>
      <c r="AD36" s="60"/>
      <c r="AE36" s="60">
        <f t="shared" si="45"/>
        <v>0</v>
      </c>
      <c r="AF36" s="60"/>
      <c r="AG36" s="60"/>
      <c r="AH36" s="60">
        <f t="shared" si="46"/>
        <v>0</v>
      </c>
      <c r="AI36" s="60">
        <v>64093</v>
      </c>
      <c r="AJ36" s="60">
        <f>181939+18953</f>
        <v>200892</v>
      </c>
      <c r="AK36" s="60">
        <f t="shared" si="47"/>
        <v>264985</v>
      </c>
      <c r="AL36" s="60"/>
      <c r="AM36" s="60"/>
      <c r="AN36" s="60">
        <f t="shared" si="48"/>
        <v>0</v>
      </c>
      <c r="AO36" s="60">
        <f>246737-107277</f>
        <v>139460</v>
      </c>
      <c r="AP36" s="60">
        <f>903263-392723</f>
        <v>510540</v>
      </c>
      <c r="AQ36" s="60">
        <f t="shared" si="49"/>
        <v>650000</v>
      </c>
      <c r="AR36" s="60"/>
      <c r="AS36" s="60"/>
      <c r="AT36" s="60">
        <f t="shared" si="50"/>
        <v>0</v>
      </c>
      <c r="AU36" s="60"/>
      <c r="AV36" s="60"/>
      <c r="AW36" s="60">
        <f t="shared" si="51"/>
        <v>0</v>
      </c>
      <c r="AX36" s="60">
        <v>25963</v>
      </c>
      <c r="AY36" s="60">
        <v>147832</v>
      </c>
      <c r="AZ36" s="60">
        <f t="shared" si="52"/>
        <v>173795</v>
      </c>
      <c r="BA36" s="60">
        <f>-40500+98738</f>
        <v>58238</v>
      </c>
      <c r="BB36" s="60">
        <v>125416</v>
      </c>
      <c r="BC36" s="60">
        <f t="shared" si="53"/>
        <v>183654</v>
      </c>
      <c r="BD36" s="60">
        <v>150130</v>
      </c>
      <c r="BE36" s="60"/>
      <c r="BF36" s="60">
        <f t="shared" si="54"/>
        <v>150130</v>
      </c>
      <c r="BG36" s="60"/>
      <c r="BH36" s="60"/>
      <c r="BI36" s="60">
        <f t="shared" si="55"/>
        <v>0</v>
      </c>
      <c r="BJ36" s="60"/>
      <c r="BK36" s="60">
        <v>19839</v>
      </c>
      <c r="BL36" s="60">
        <f t="shared" si="56"/>
        <v>19839</v>
      </c>
      <c r="BM36" s="60"/>
      <c r="BN36" s="60"/>
      <c r="BO36" s="60">
        <f t="shared" si="57"/>
        <v>0</v>
      </c>
      <c r="BP36" s="60">
        <f>271609-59199</f>
        <v>212410</v>
      </c>
      <c r="BQ36" s="60">
        <f>1207823-263242</f>
        <v>944581</v>
      </c>
      <c r="BR36" s="60">
        <f t="shared" si="67"/>
        <v>1156991</v>
      </c>
      <c r="BS36" s="60"/>
      <c r="BT36" s="60"/>
      <c r="BU36" s="60">
        <f t="shared" si="59"/>
        <v>0</v>
      </c>
      <c r="BV36" s="60">
        <v>75139</v>
      </c>
      <c r="BW36" s="60">
        <v>373176</v>
      </c>
      <c r="BX36" s="60">
        <f t="shared" si="60"/>
        <v>448315</v>
      </c>
      <c r="BY36" s="60"/>
      <c r="BZ36" s="60"/>
      <c r="CA36" s="60">
        <f t="shared" si="61"/>
        <v>0</v>
      </c>
      <c r="CB36" s="60"/>
      <c r="CC36" s="60"/>
      <c r="CD36" s="60">
        <v>0</v>
      </c>
      <c r="CE36" s="60"/>
      <c r="CF36" s="60"/>
      <c r="CG36" s="60">
        <f t="shared" si="63"/>
        <v>0</v>
      </c>
      <c r="CH36" s="60">
        <v>1053114</v>
      </c>
      <c r="CI36" s="60">
        <v>4459900</v>
      </c>
      <c r="CJ36" s="60">
        <f t="shared" si="64"/>
        <v>5513014</v>
      </c>
      <c r="CK36" s="60">
        <v>4326</v>
      </c>
      <c r="CL36" s="60">
        <v>10110</v>
      </c>
      <c r="CM36" s="60">
        <f t="shared" si="65"/>
        <v>14436</v>
      </c>
      <c r="CN36" s="60"/>
      <c r="CO36" s="60"/>
      <c r="CP36" s="60">
        <f t="shared" si="68"/>
        <v>0</v>
      </c>
      <c r="CQ36" s="60"/>
      <c r="CR36" s="60"/>
      <c r="CS36" s="60">
        <v>854966</v>
      </c>
      <c r="CT36" s="60"/>
      <c r="CU36" s="60"/>
      <c r="CV36" s="60">
        <f t="shared" si="70"/>
        <v>0</v>
      </c>
    </row>
    <row r="37" spans="1:100" s="63" customFormat="1" x14ac:dyDescent="0.25">
      <c r="A37" s="59" t="s">
        <v>197</v>
      </c>
      <c r="B37" s="62">
        <f>SUM(B22:B36)</f>
        <v>214465</v>
      </c>
      <c r="C37" s="62">
        <f t="shared" ref="C37:BN37" si="73">SUM(C22:C36)</f>
        <v>413186</v>
      </c>
      <c r="D37" s="62">
        <f t="shared" si="73"/>
        <v>627651</v>
      </c>
      <c r="E37" s="62">
        <f t="shared" si="73"/>
        <v>0</v>
      </c>
      <c r="F37" s="62">
        <f t="shared" si="73"/>
        <v>1638082</v>
      </c>
      <c r="G37" s="62">
        <f t="shared" si="73"/>
        <v>1638082</v>
      </c>
      <c r="H37" s="62">
        <f t="shared" si="73"/>
        <v>0</v>
      </c>
      <c r="I37" s="62">
        <f t="shared" si="73"/>
        <v>0</v>
      </c>
      <c r="J37" s="62">
        <f t="shared" si="73"/>
        <v>16557645</v>
      </c>
      <c r="K37" s="62">
        <f t="shared" si="73"/>
        <v>2609043</v>
      </c>
      <c r="L37" s="62">
        <f t="shared" si="73"/>
        <v>10834417</v>
      </c>
      <c r="M37" s="62">
        <f t="shared" si="73"/>
        <v>13443460</v>
      </c>
      <c r="N37" s="62">
        <f t="shared" si="73"/>
        <v>1156958</v>
      </c>
      <c r="O37" s="62">
        <f t="shared" si="73"/>
        <v>5919234</v>
      </c>
      <c r="P37" s="62">
        <f t="shared" si="73"/>
        <v>7076192</v>
      </c>
      <c r="Q37" s="62">
        <f t="shared" si="73"/>
        <v>1561048</v>
      </c>
      <c r="R37" s="62">
        <f t="shared" si="73"/>
        <v>13170609</v>
      </c>
      <c r="S37" s="62">
        <f t="shared" si="73"/>
        <v>14731657</v>
      </c>
      <c r="T37" s="62">
        <f t="shared" si="73"/>
        <v>5077286.87</v>
      </c>
      <c r="U37" s="62">
        <f t="shared" si="73"/>
        <v>6730357.0199999996</v>
      </c>
      <c r="V37" s="62">
        <f t="shared" si="73"/>
        <v>11807643.889999999</v>
      </c>
      <c r="W37" s="62">
        <f t="shared" si="73"/>
        <v>41430</v>
      </c>
      <c r="X37" s="62">
        <f t="shared" si="73"/>
        <v>69274</v>
      </c>
      <c r="Y37" s="62">
        <f t="shared" si="73"/>
        <v>110704</v>
      </c>
      <c r="Z37" s="62">
        <f t="shared" si="73"/>
        <v>409279</v>
      </c>
      <c r="AA37" s="62">
        <f t="shared" si="73"/>
        <v>1836788</v>
      </c>
      <c r="AB37" s="62">
        <f t="shared" si="73"/>
        <v>2246067</v>
      </c>
      <c r="AC37" s="62">
        <f t="shared" si="73"/>
        <v>398841</v>
      </c>
      <c r="AD37" s="62">
        <f t="shared" si="73"/>
        <v>4807914</v>
      </c>
      <c r="AE37" s="62">
        <f t="shared" si="73"/>
        <v>5206755</v>
      </c>
      <c r="AF37" s="62">
        <f t="shared" si="73"/>
        <v>2705537</v>
      </c>
      <c r="AG37" s="62">
        <f t="shared" si="73"/>
        <v>12246654</v>
      </c>
      <c r="AH37" s="62">
        <f t="shared" si="73"/>
        <v>14952191</v>
      </c>
      <c r="AI37" s="62">
        <f t="shared" si="73"/>
        <v>1355425</v>
      </c>
      <c r="AJ37" s="62">
        <f t="shared" si="73"/>
        <v>4248449</v>
      </c>
      <c r="AK37" s="62">
        <f t="shared" si="73"/>
        <v>5603874</v>
      </c>
      <c r="AL37" s="62">
        <f t="shared" si="73"/>
        <v>7440322</v>
      </c>
      <c r="AM37" s="62">
        <f t="shared" si="73"/>
        <v>23597271</v>
      </c>
      <c r="AN37" s="62">
        <f t="shared" si="73"/>
        <v>31037593</v>
      </c>
      <c r="AO37" s="62">
        <f t="shared" si="73"/>
        <v>4157407</v>
      </c>
      <c r="AP37" s="62">
        <f t="shared" si="73"/>
        <v>15219567</v>
      </c>
      <c r="AQ37" s="62">
        <f t="shared" si="73"/>
        <v>19376974</v>
      </c>
      <c r="AR37" s="62">
        <f t="shared" si="73"/>
        <v>211868</v>
      </c>
      <c r="AS37" s="62">
        <f t="shared" si="73"/>
        <v>701610</v>
      </c>
      <c r="AT37" s="62">
        <f t="shared" si="73"/>
        <v>913478</v>
      </c>
      <c r="AU37" s="62">
        <f t="shared" si="73"/>
        <v>880960</v>
      </c>
      <c r="AV37" s="62">
        <f t="shared" si="73"/>
        <v>2118649</v>
      </c>
      <c r="AW37" s="62">
        <f t="shared" si="73"/>
        <v>2999609</v>
      </c>
      <c r="AX37" s="62">
        <f t="shared" si="73"/>
        <v>391085</v>
      </c>
      <c r="AY37" s="62">
        <f t="shared" si="73"/>
        <v>2226796</v>
      </c>
      <c r="AZ37" s="62">
        <f t="shared" si="73"/>
        <v>2617881</v>
      </c>
      <c r="BA37" s="62">
        <f t="shared" si="73"/>
        <v>913955</v>
      </c>
      <c r="BB37" s="62">
        <f t="shared" si="73"/>
        <v>534532</v>
      </c>
      <c r="BC37" s="62">
        <f t="shared" si="73"/>
        <v>1448487</v>
      </c>
      <c r="BD37" s="62">
        <f t="shared" si="73"/>
        <v>863352</v>
      </c>
      <c r="BE37" s="62">
        <f t="shared" si="73"/>
        <v>3065730</v>
      </c>
      <c r="BF37" s="62">
        <f t="shared" si="73"/>
        <v>3929082</v>
      </c>
      <c r="BG37" s="62">
        <f t="shared" si="73"/>
        <v>145250</v>
      </c>
      <c r="BH37" s="62">
        <f t="shared" si="73"/>
        <v>27425388</v>
      </c>
      <c r="BI37" s="62">
        <f t="shared" si="73"/>
        <v>27570638</v>
      </c>
      <c r="BJ37" s="62">
        <f t="shared" si="73"/>
        <v>201878</v>
      </c>
      <c r="BK37" s="62">
        <f t="shared" si="73"/>
        <v>400692</v>
      </c>
      <c r="BL37" s="62">
        <f t="shared" si="73"/>
        <v>602570</v>
      </c>
      <c r="BM37" s="62">
        <f t="shared" si="73"/>
        <v>0</v>
      </c>
      <c r="BN37" s="62">
        <f t="shared" si="73"/>
        <v>0</v>
      </c>
      <c r="BO37" s="62">
        <f t="shared" ref="BO37:CS37" si="74">SUM(BO22:BO36)</f>
        <v>0</v>
      </c>
      <c r="BP37" s="62">
        <f t="shared" si="74"/>
        <v>3747670</v>
      </c>
      <c r="BQ37" s="62">
        <f t="shared" si="74"/>
        <v>16664828</v>
      </c>
      <c r="BR37" s="62">
        <f t="shared" si="74"/>
        <v>20412498</v>
      </c>
      <c r="BS37" s="62">
        <f t="shared" si="74"/>
        <v>517503</v>
      </c>
      <c r="BT37" s="62">
        <f t="shared" si="74"/>
        <v>981199</v>
      </c>
      <c r="BU37" s="62">
        <f t="shared" si="74"/>
        <v>1498702</v>
      </c>
      <c r="BV37" s="62">
        <f t="shared" si="74"/>
        <v>1952019</v>
      </c>
      <c r="BW37" s="62">
        <f t="shared" si="74"/>
        <v>9694573</v>
      </c>
      <c r="BX37" s="62">
        <f t="shared" si="74"/>
        <v>11646592</v>
      </c>
      <c r="BY37" s="62">
        <f t="shared" ref="BY37:CA37" si="75">SUM(BY22:BY36)</f>
        <v>0</v>
      </c>
      <c r="BZ37" s="62">
        <f t="shared" si="75"/>
        <v>7282736</v>
      </c>
      <c r="CA37" s="62">
        <f t="shared" si="75"/>
        <v>7282736</v>
      </c>
      <c r="CB37" s="62">
        <f t="shared" si="74"/>
        <v>0</v>
      </c>
      <c r="CC37" s="62">
        <f t="shared" si="74"/>
        <v>1980865</v>
      </c>
      <c r="CD37" s="62">
        <f t="shared" si="74"/>
        <v>1980865</v>
      </c>
      <c r="CE37" s="62">
        <f t="shared" si="74"/>
        <v>1956449</v>
      </c>
      <c r="CF37" s="62">
        <f t="shared" si="74"/>
        <v>3226021</v>
      </c>
      <c r="CG37" s="62">
        <f t="shared" si="74"/>
        <v>5182470</v>
      </c>
      <c r="CH37" s="62">
        <f t="shared" si="74"/>
        <v>3960631</v>
      </c>
      <c r="CI37" s="62">
        <f t="shared" si="74"/>
        <v>16773121</v>
      </c>
      <c r="CJ37" s="62">
        <f t="shared" si="74"/>
        <v>20733752</v>
      </c>
      <c r="CK37" s="62">
        <f t="shared" si="74"/>
        <v>6171685</v>
      </c>
      <c r="CL37" s="62">
        <f t="shared" si="74"/>
        <v>14423279</v>
      </c>
      <c r="CM37" s="62">
        <f t="shared" si="74"/>
        <v>20594964</v>
      </c>
      <c r="CN37" s="62">
        <f t="shared" si="74"/>
        <v>0</v>
      </c>
      <c r="CO37" s="62">
        <f t="shared" si="74"/>
        <v>0</v>
      </c>
      <c r="CP37" s="62">
        <f t="shared" si="74"/>
        <v>22975415</v>
      </c>
      <c r="CQ37" s="62">
        <f t="shared" si="74"/>
        <v>0</v>
      </c>
      <c r="CR37" s="62">
        <f t="shared" si="74"/>
        <v>0</v>
      </c>
      <c r="CS37" s="62">
        <f t="shared" si="74"/>
        <v>35968647</v>
      </c>
      <c r="CT37" s="62">
        <f t="shared" ref="CT37:CV37" si="76">SUM(CT22:CT36)</f>
        <v>1679885</v>
      </c>
      <c r="CU37" s="62">
        <f t="shared" si="76"/>
        <v>4376867</v>
      </c>
      <c r="CV37" s="62">
        <f t="shared" si="76"/>
        <v>6056752</v>
      </c>
    </row>
    <row r="38" spans="1:100" s="63" customFormat="1" x14ac:dyDescent="0.25">
      <c r="A38" s="59" t="s">
        <v>42</v>
      </c>
      <c r="B38" s="62">
        <f>B37+B20</f>
        <v>1438764</v>
      </c>
      <c r="C38" s="62">
        <f t="shared" ref="C38:BN38" si="77">C37+C20</f>
        <v>2771889</v>
      </c>
      <c r="D38" s="62">
        <f t="shared" si="77"/>
        <v>4210653</v>
      </c>
      <c r="E38" s="62">
        <f t="shared" si="77"/>
        <v>2911539</v>
      </c>
      <c r="F38" s="62">
        <f t="shared" si="77"/>
        <v>7968596</v>
      </c>
      <c r="G38" s="62">
        <f t="shared" si="77"/>
        <v>10880135</v>
      </c>
      <c r="H38" s="62">
        <f t="shared" si="77"/>
        <v>0</v>
      </c>
      <c r="I38" s="62">
        <f t="shared" si="77"/>
        <v>0</v>
      </c>
      <c r="J38" s="62">
        <f t="shared" si="77"/>
        <v>72272272</v>
      </c>
      <c r="K38" s="62">
        <f t="shared" si="77"/>
        <v>45971416</v>
      </c>
      <c r="L38" s="62">
        <f t="shared" si="77"/>
        <v>154774154</v>
      </c>
      <c r="M38" s="62">
        <f t="shared" si="77"/>
        <v>200745570</v>
      </c>
      <c r="N38" s="62">
        <f t="shared" si="77"/>
        <v>8501232</v>
      </c>
      <c r="O38" s="62">
        <f t="shared" si="77"/>
        <v>43494073</v>
      </c>
      <c r="P38" s="62">
        <f t="shared" si="77"/>
        <v>51995305</v>
      </c>
      <c r="Q38" s="62">
        <f t="shared" si="77"/>
        <v>10624162</v>
      </c>
      <c r="R38" s="62">
        <f t="shared" si="77"/>
        <v>89636475</v>
      </c>
      <c r="S38" s="62">
        <f t="shared" si="77"/>
        <v>100260637</v>
      </c>
      <c r="T38" s="62">
        <f t="shared" si="77"/>
        <v>49180251.899999991</v>
      </c>
      <c r="U38" s="62">
        <f t="shared" si="77"/>
        <v>65192426.980000004</v>
      </c>
      <c r="V38" s="62">
        <f t="shared" si="77"/>
        <v>114372678.88000001</v>
      </c>
      <c r="W38" s="62">
        <f t="shared" si="77"/>
        <v>844380</v>
      </c>
      <c r="X38" s="62">
        <f t="shared" si="77"/>
        <v>2096607</v>
      </c>
      <c r="Y38" s="62">
        <f t="shared" si="77"/>
        <v>2940987</v>
      </c>
      <c r="Z38" s="62">
        <f t="shared" si="77"/>
        <v>8537730</v>
      </c>
      <c r="AA38" s="62">
        <f t="shared" si="77"/>
        <v>38316277</v>
      </c>
      <c r="AB38" s="62">
        <f t="shared" si="77"/>
        <v>46854007</v>
      </c>
      <c r="AC38" s="62">
        <f t="shared" si="77"/>
        <v>7170064</v>
      </c>
      <c r="AD38" s="62">
        <f t="shared" si="77"/>
        <v>36067901</v>
      </c>
      <c r="AE38" s="62">
        <f t="shared" si="77"/>
        <v>43237965</v>
      </c>
      <c r="AF38" s="62">
        <f t="shared" si="77"/>
        <v>23013463</v>
      </c>
      <c r="AG38" s="62">
        <f t="shared" si="77"/>
        <v>104170750</v>
      </c>
      <c r="AH38" s="62">
        <f t="shared" si="77"/>
        <v>127184213</v>
      </c>
      <c r="AI38" s="62">
        <f t="shared" si="77"/>
        <v>5043903</v>
      </c>
      <c r="AJ38" s="62">
        <f t="shared" si="77"/>
        <v>15809631</v>
      </c>
      <c r="AK38" s="62">
        <f t="shared" si="77"/>
        <v>20853534</v>
      </c>
      <c r="AL38" s="62">
        <f t="shared" si="77"/>
        <v>68266206</v>
      </c>
      <c r="AM38" s="62">
        <f t="shared" si="77"/>
        <v>223353300</v>
      </c>
      <c r="AN38" s="62">
        <f t="shared" si="77"/>
        <v>291619506</v>
      </c>
      <c r="AO38" s="62">
        <f t="shared" si="77"/>
        <v>24083320</v>
      </c>
      <c r="AP38" s="62">
        <f t="shared" si="77"/>
        <v>88164962</v>
      </c>
      <c r="AQ38" s="62">
        <f t="shared" si="77"/>
        <v>112248282</v>
      </c>
      <c r="AR38" s="62">
        <f t="shared" si="77"/>
        <v>1841099</v>
      </c>
      <c r="AS38" s="62">
        <f t="shared" si="77"/>
        <v>6108279</v>
      </c>
      <c r="AT38" s="62">
        <f t="shared" si="77"/>
        <v>7949378</v>
      </c>
      <c r="AU38" s="62">
        <f t="shared" si="77"/>
        <v>8561714</v>
      </c>
      <c r="AV38" s="62">
        <f t="shared" si="77"/>
        <v>20764756</v>
      </c>
      <c r="AW38" s="62">
        <f t="shared" si="77"/>
        <v>29326470</v>
      </c>
      <c r="AX38" s="62">
        <f t="shared" si="77"/>
        <v>3952203</v>
      </c>
      <c r="AY38" s="62">
        <f t="shared" si="77"/>
        <v>22503356</v>
      </c>
      <c r="AZ38" s="62">
        <f t="shared" si="77"/>
        <v>26455559</v>
      </c>
      <c r="BA38" s="62">
        <f t="shared" si="77"/>
        <v>3606113</v>
      </c>
      <c r="BB38" s="62">
        <f t="shared" si="77"/>
        <v>4300792</v>
      </c>
      <c r="BC38" s="62">
        <f t="shared" si="77"/>
        <v>7906905</v>
      </c>
      <c r="BD38" s="62">
        <f t="shared" si="77"/>
        <v>4572980</v>
      </c>
      <c r="BE38" s="62">
        <f t="shared" si="77"/>
        <v>8161349</v>
      </c>
      <c r="BF38" s="62">
        <f t="shared" si="77"/>
        <v>12734329</v>
      </c>
      <c r="BG38" s="62">
        <f t="shared" si="77"/>
        <v>1372955</v>
      </c>
      <c r="BH38" s="62">
        <f t="shared" si="77"/>
        <v>259234031</v>
      </c>
      <c r="BI38" s="62">
        <f t="shared" si="77"/>
        <v>260606986</v>
      </c>
      <c r="BJ38" s="62">
        <f t="shared" si="77"/>
        <v>2228658</v>
      </c>
      <c r="BK38" s="62">
        <f t="shared" si="77"/>
        <v>2775061</v>
      </c>
      <c r="BL38" s="62">
        <f t="shared" si="77"/>
        <v>5003719</v>
      </c>
      <c r="BM38" s="62">
        <f t="shared" si="77"/>
        <v>0</v>
      </c>
      <c r="BN38" s="62">
        <f t="shared" si="77"/>
        <v>0</v>
      </c>
      <c r="BO38" s="62">
        <f t="shared" ref="BO38:CS38" si="78">BO37+BO20</f>
        <v>0</v>
      </c>
      <c r="BP38" s="62">
        <f t="shared" si="78"/>
        <v>22610542</v>
      </c>
      <c r="BQ38" s="62">
        <f t="shared" si="78"/>
        <v>100542399</v>
      </c>
      <c r="BR38" s="62">
        <f t="shared" si="78"/>
        <v>123152941</v>
      </c>
      <c r="BS38" s="62">
        <f t="shared" si="78"/>
        <v>2062042</v>
      </c>
      <c r="BT38" s="62">
        <f t="shared" si="78"/>
        <v>3909689</v>
      </c>
      <c r="BU38" s="62">
        <f t="shared" si="78"/>
        <v>5971731</v>
      </c>
      <c r="BV38" s="62">
        <f t="shared" si="78"/>
        <v>10511215</v>
      </c>
      <c r="BW38" s="62">
        <f t="shared" si="78"/>
        <v>52203255</v>
      </c>
      <c r="BX38" s="62">
        <f t="shared" si="78"/>
        <v>62714470</v>
      </c>
      <c r="BY38" s="62">
        <f t="shared" ref="BY38:CA38" si="79">BY37+BY20</f>
        <v>20601603</v>
      </c>
      <c r="BZ38" s="62">
        <f t="shared" si="79"/>
        <v>59094325</v>
      </c>
      <c r="CA38" s="62">
        <f t="shared" si="79"/>
        <v>79695928</v>
      </c>
      <c r="CB38" s="62">
        <f t="shared" si="78"/>
        <v>15116949</v>
      </c>
      <c r="CC38" s="62">
        <f t="shared" si="78"/>
        <v>83806201</v>
      </c>
      <c r="CD38" s="62">
        <f t="shared" si="78"/>
        <v>98923150</v>
      </c>
      <c r="CE38" s="62">
        <f t="shared" si="78"/>
        <v>21158643</v>
      </c>
      <c r="CF38" s="62">
        <f t="shared" si="78"/>
        <v>34888834</v>
      </c>
      <c r="CG38" s="62">
        <f t="shared" si="78"/>
        <v>56047477</v>
      </c>
      <c r="CH38" s="62">
        <f t="shared" si="78"/>
        <v>27316195</v>
      </c>
      <c r="CI38" s="62">
        <f t="shared" si="78"/>
        <v>115683042</v>
      </c>
      <c r="CJ38" s="62">
        <f t="shared" si="78"/>
        <v>142999237</v>
      </c>
      <c r="CK38" s="62">
        <f t="shared" si="78"/>
        <v>180190740</v>
      </c>
      <c r="CL38" s="62">
        <f t="shared" si="78"/>
        <v>402136316</v>
      </c>
      <c r="CM38" s="62">
        <f t="shared" si="78"/>
        <v>582327056</v>
      </c>
      <c r="CN38" s="62">
        <f t="shared" si="78"/>
        <v>0</v>
      </c>
      <c r="CO38" s="62">
        <f t="shared" si="78"/>
        <v>0</v>
      </c>
      <c r="CP38" s="62">
        <f t="shared" si="78"/>
        <v>227214325</v>
      </c>
      <c r="CQ38" s="62">
        <f t="shared" si="78"/>
        <v>0</v>
      </c>
      <c r="CR38" s="62">
        <f t="shared" si="78"/>
        <v>0</v>
      </c>
      <c r="CS38" s="62">
        <f t="shared" si="78"/>
        <v>316625877</v>
      </c>
      <c r="CT38" s="62">
        <f t="shared" ref="CT38:CV38" si="80">CT37+CT20</f>
        <v>8835656</v>
      </c>
      <c r="CU38" s="62">
        <f t="shared" si="80"/>
        <v>23020905</v>
      </c>
      <c r="CV38" s="62">
        <f t="shared" si="80"/>
        <v>31856561</v>
      </c>
    </row>
  </sheetData>
  <mergeCells count="34">
    <mergeCell ref="BV3:BX3"/>
    <mergeCell ref="AI3:AK3"/>
    <mergeCell ref="BJ3:BL3"/>
    <mergeCell ref="BM3:BO3"/>
    <mergeCell ref="BP3:BR3"/>
    <mergeCell ref="BS3:BU3"/>
    <mergeCell ref="AL3:AN3"/>
    <mergeCell ref="AO3:AQ3"/>
    <mergeCell ref="AR3:AT3"/>
    <mergeCell ref="BD3:BF3"/>
    <mergeCell ref="BG3:BI3"/>
    <mergeCell ref="H3:J3"/>
    <mergeCell ref="K3:M3"/>
    <mergeCell ref="T3:V3"/>
    <mergeCell ref="AU3:AW3"/>
    <mergeCell ref="AX3:AZ3"/>
    <mergeCell ref="AF3:AH3"/>
    <mergeCell ref="Z3:AB3"/>
    <mergeCell ref="A3:A4"/>
    <mergeCell ref="CT3:CV3"/>
    <mergeCell ref="CK3:CM3"/>
    <mergeCell ref="CN3:CP3"/>
    <mergeCell ref="CB3:CD3"/>
    <mergeCell ref="CE3:CG3"/>
    <mergeCell ref="CH3:CJ3"/>
    <mergeCell ref="CQ3:CS3"/>
    <mergeCell ref="BY3:CA3"/>
    <mergeCell ref="N3:P3"/>
    <mergeCell ref="BA3:BC3"/>
    <mergeCell ref="Q3:S3"/>
    <mergeCell ref="W3:Y3"/>
    <mergeCell ref="AC3:AE3"/>
    <mergeCell ref="B3:D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NL1</vt:lpstr>
      <vt:lpstr>NL2</vt:lpstr>
      <vt:lpstr>NL3</vt:lpstr>
      <vt:lpstr>NL4</vt:lpstr>
      <vt:lpstr>NL5</vt:lpstr>
      <vt:lpstr>NL6</vt:lpstr>
      <vt:lpstr>NL7</vt:lpstr>
      <vt:lpstr>NL10</vt:lpstr>
      <vt:lpstr>NL12</vt:lpstr>
      <vt:lpstr>NL13</vt:lpstr>
      <vt:lpstr>NL14</vt:lpstr>
      <vt:lpstr>NL15</vt:lpstr>
      <vt:lpstr>NL17</vt:lpstr>
      <vt:lpstr>NL23</vt:lpstr>
      <vt:lpstr>NL25</vt:lpstr>
      <vt:lpstr>NL30</vt:lpstr>
      <vt:lpstr>NL33</vt:lpstr>
      <vt:lpstr>NL40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2021-04-12T05:52:14Z</dcterms:modified>
</cp:coreProperties>
</file>